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9200" windowHeight="10995"/>
  </bookViews>
  <sheets>
    <sheet name="01_ktgcsökk_célszám" sheetId="13" r:id="rId1"/>
    <sheet name="02_működési_ktg_terv" sheetId="12" r:id="rId2"/>
    <sheet name="03_HR&amp;megbíz_kalk" sheetId="10" r:id="rId3"/>
    <sheet name="használat" sheetId="11" r:id="rId4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6" i="10" l="1"/>
  <c r="J37" i="12"/>
  <c r="I37" i="12"/>
  <c r="E37" i="12"/>
  <c r="J36" i="12"/>
  <c r="I36" i="12"/>
  <c r="E36" i="12"/>
  <c r="O36" i="12" s="1"/>
  <c r="J35" i="12"/>
  <c r="I35" i="12"/>
  <c r="E35" i="12"/>
  <c r="O35" i="12" s="1"/>
  <c r="J39" i="12"/>
  <c r="I39" i="12"/>
  <c r="E39" i="12"/>
  <c r="J38" i="12"/>
  <c r="I38" i="12"/>
  <c r="E38" i="12"/>
  <c r="O38" i="12" s="1"/>
  <c r="J34" i="12"/>
  <c r="I34" i="12"/>
  <c r="E34" i="12"/>
  <c r="O34" i="12" s="1"/>
  <c r="J33" i="12"/>
  <c r="I33" i="12"/>
  <c r="E33" i="12"/>
  <c r="O33" i="12" s="1"/>
  <c r="J42" i="12"/>
  <c r="I42" i="12"/>
  <c r="E42" i="12"/>
  <c r="O42" i="12" s="1"/>
  <c r="J41" i="12"/>
  <c r="I41" i="12"/>
  <c r="E41" i="12"/>
  <c r="O41" i="12" s="1"/>
  <c r="J40" i="12"/>
  <c r="I40" i="12"/>
  <c r="E40" i="12"/>
  <c r="O44" i="12"/>
  <c r="O22" i="12"/>
  <c r="J46" i="12"/>
  <c r="I46" i="12"/>
  <c r="K46" i="12" s="1"/>
  <c r="E46" i="12"/>
  <c r="O46" i="12" s="1"/>
  <c r="J45" i="12"/>
  <c r="I45" i="12"/>
  <c r="E45" i="12"/>
  <c r="O45" i="12" s="1"/>
  <c r="J44" i="12"/>
  <c r="I44" i="12"/>
  <c r="E44" i="12"/>
  <c r="J43" i="12"/>
  <c r="I43" i="12"/>
  <c r="E43" i="12"/>
  <c r="O43" i="12" s="1"/>
  <c r="J32" i="12"/>
  <c r="I32" i="12"/>
  <c r="K32" i="12" s="1"/>
  <c r="E32" i="12"/>
  <c r="O32" i="12" s="1"/>
  <c r="J31" i="12"/>
  <c r="I31" i="12"/>
  <c r="E31" i="12"/>
  <c r="O31" i="12" s="1"/>
  <c r="J30" i="12"/>
  <c r="I30" i="12"/>
  <c r="E30" i="12"/>
  <c r="O30" i="12" s="1"/>
  <c r="J29" i="12"/>
  <c r="I29" i="12"/>
  <c r="E29" i="12"/>
  <c r="O29" i="12" s="1"/>
  <c r="J28" i="12"/>
  <c r="I28" i="12"/>
  <c r="K28" i="12" s="1"/>
  <c r="E28" i="12"/>
  <c r="O28" i="12" s="1"/>
  <c r="J27" i="12"/>
  <c r="I27" i="12"/>
  <c r="E27" i="12"/>
  <c r="O27" i="12" s="1"/>
  <c r="J26" i="12"/>
  <c r="I26" i="12"/>
  <c r="E26" i="12"/>
  <c r="O26" i="12" s="1"/>
  <c r="J25" i="12"/>
  <c r="I25" i="12"/>
  <c r="E25" i="12"/>
  <c r="O25" i="12" s="1"/>
  <c r="J24" i="12"/>
  <c r="I24" i="12"/>
  <c r="K24" i="12" s="1"/>
  <c r="E24" i="12"/>
  <c r="O24" i="12" s="1"/>
  <c r="E23" i="12"/>
  <c r="O23" i="12" s="1"/>
  <c r="I23" i="12"/>
  <c r="J23" i="12"/>
  <c r="J22" i="12"/>
  <c r="I22" i="12"/>
  <c r="E22" i="12"/>
  <c r="M33" i="13"/>
  <c r="L33" i="13"/>
  <c r="K33" i="13"/>
  <c r="M48" i="13"/>
  <c r="L48" i="13"/>
  <c r="K48" i="13"/>
  <c r="M47" i="13"/>
  <c r="L47" i="13"/>
  <c r="K47" i="13"/>
  <c r="F64" i="13"/>
  <c r="F60" i="13"/>
  <c r="F61" i="13" s="1"/>
  <c r="F62" i="13" s="1"/>
  <c r="F63" i="13" s="1"/>
  <c r="L30" i="13"/>
  <c r="M30" i="13"/>
  <c r="L31" i="13"/>
  <c r="M31" i="13"/>
  <c r="L34" i="13"/>
  <c r="M34" i="13"/>
  <c r="L35" i="13"/>
  <c r="M35" i="13"/>
  <c r="L36" i="13"/>
  <c r="M36" i="13"/>
  <c r="L37" i="13"/>
  <c r="M37" i="13"/>
  <c r="L32" i="13"/>
  <c r="M32" i="13"/>
  <c r="L38" i="13"/>
  <c r="M38" i="13"/>
  <c r="L39" i="13"/>
  <c r="M39" i="13"/>
  <c r="L40" i="13"/>
  <c r="M40" i="13"/>
  <c r="L41" i="13"/>
  <c r="M41" i="13"/>
  <c r="K41" i="13"/>
  <c r="K40" i="13"/>
  <c r="K39" i="13"/>
  <c r="K38" i="13"/>
  <c r="K32" i="13"/>
  <c r="K37" i="13"/>
  <c r="K36" i="13"/>
  <c r="K35" i="13"/>
  <c r="K34" i="13"/>
  <c r="K31" i="13"/>
  <c r="K30" i="13"/>
  <c r="L25" i="13"/>
  <c r="M25" i="13"/>
  <c r="K25" i="13"/>
  <c r="L15" i="13"/>
  <c r="M15" i="13"/>
  <c r="L16" i="13"/>
  <c r="M16" i="13"/>
  <c r="L17" i="13"/>
  <c r="M17" i="13"/>
  <c r="L18" i="13"/>
  <c r="M18" i="13"/>
  <c r="L19" i="13"/>
  <c r="M19" i="13"/>
  <c r="K16" i="13"/>
  <c r="K17" i="13"/>
  <c r="K18" i="13"/>
  <c r="K19" i="13"/>
  <c r="K15" i="13"/>
  <c r="F16" i="13"/>
  <c r="F17" i="13"/>
  <c r="F18" i="13"/>
  <c r="F19" i="13"/>
  <c r="F15" i="13"/>
  <c r="D20" i="13"/>
  <c r="D43" i="13" s="1"/>
  <c r="K36" i="12" l="1"/>
  <c r="K39" i="12"/>
  <c r="L39" i="12" s="1"/>
  <c r="K37" i="12"/>
  <c r="L37" i="12" s="1"/>
  <c r="K41" i="12"/>
  <c r="P41" i="12" s="1"/>
  <c r="P24" i="12"/>
  <c r="P28" i="12"/>
  <c r="P46" i="12"/>
  <c r="K23" i="12"/>
  <c r="L23" i="12" s="1"/>
  <c r="K40" i="12"/>
  <c r="L40" i="12" s="1"/>
  <c r="K42" i="12"/>
  <c r="P42" i="12" s="1"/>
  <c r="K35" i="12"/>
  <c r="P35" i="12" s="1"/>
  <c r="P32" i="12"/>
  <c r="K22" i="12"/>
  <c r="K26" i="12"/>
  <c r="K30" i="12"/>
  <c r="K44" i="12"/>
  <c r="K34" i="12"/>
  <c r="P34" i="12" s="1"/>
  <c r="P36" i="12"/>
  <c r="L36" i="12"/>
  <c r="K33" i="12"/>
  <c r="L33" i="12" s="1"/>
  <c r="K38" i="12"/>
  <c r="L38" i="12" s="1"/>
  <c r="O37" i="12"/>
  <c r="L46" i="12"/>
  <c r="L32" i="12"/>
  <c r="L28" i="12"/>
  <c r="L24" i="12"/>
  <c r="E47" i="12"/>
  <c r="O39" i="12"/>
  <c r="L41" i="12"/>
  <c r="O40" i="12"/>
  <c r="K25" i="12"/>
  <c r="K29" i="12"/>
  <c r="K43" i="12"/>
  <c r="K27" i="12"/>
  <c r="K31" i="12"/>
  <c r="K45" i="12"/>
  <c r="L49" i="13"/>
  <c r="M49" i="13"/>
  <c r="K49" i="13"/>
  <c r="K50" i="13" s="1"/>
  <c r="C12" i="12"/>
  <c r="L50" i="13"/>
  <c r="M50" i="13"/>
  <c r="D26" i="13"/>
  <c r="D27" i="13" s="1"/>
  <c r="D42" i="13"/>
  <c r="D44" i="13" s="1"/>
  <c r="M20" i="13"/>
  <c r="M59" i="13" s="1"/>
  <c r="F20" i="13"/>
  <c r="K20" i="13"/>
  <c r="K59" i="13" s="1"/>
  <c r="L20" i="13"/>
  <c r="L59" i="13" s="1"/>
  <c r="AF4" i="10"/>
  <c r="L34" i="12" l="1"/>
  <c r="P39" i="12"/>
  <c r="P37" i="12"/>
  <c r="K55" i="12"/>
  <c r="K51" i="12"/>
  <c r="E55" i="12"/>
  <c r="K53" i="12"/>
  <c r="K54" i="12"/>
  <c r="E52" i="12"/>
  <c r="E51" i="12"/>
  <c r="E53" i="12"/>
  <c r="K52" i="12"/>
  <c r="E54" i="12"/>
  <c r="O54" i="12" s="1"/>
  <c r="L35" i="12"/>
  <c r="P40" i="12"/>
  <c r="L42" i="12"/>
  <c r="P38" i="12"/>
  <c r="O47" i="12"/>
  <c r="P44" i="12"/>
  <c r="L44" i="12"/>
  <c r="P30" i="12"/>
  <c r="L30" i="12"/>
  <c r="P26" i="12"/>
  <c r="L26" i="12"/>
  <c r="L22" i="12"/>
  <c r="P22" i="12"/>
  <c r="P23" i="12"/>
  <c r="L43" i="12"/>
  <c r="P43" i="12"/>
  <c r="P45" i="12"/>
  <c r="L45" i="12"/>
  <c r="L29" i="12"/>
  <c r="P29" i="12"/>
  <c r="P33" i="12"/>
  <c r="P31" i="12"/>
  <c r="L31" i="12"/>
  <c r="L25" i="12"/>
  <c r="P25" i="12"/>
  <c r="P27" i="12"/>
  <c r="L27" i="12"/>
  <c r="K47" i="12"/>
  <c r="M22" i="13"/>
  <c r="D49" i="13"/>
  <c r="D50" i="13" s="1"/>
  <c r="F52" i="13" s="1"/>
  <c r="M21" i="13"/>
  <c r="M26" i="13"/>
  <c r="M27" i="13" s="1"/>
  <c r="M43" i="13"/>
  <c r="M42" i="13"/>
  <c r="L22" i="13"/>
  <c r="L21" i="13"/>
  <c r="L43" i="13"/>
  <c r="L42" i="13"/>
  <c r="L26" i="13"/>
  <c r="L27" i="13" s="1"/>
  <c r="K21" i="13"/>
  <c r="K43" i="13"/>
  <c r="K42" i="13"/>
  <c r="K26" i="13"/>
  <c r="K27" i="13" s="1"/>
  <c r="K22" i="13"/>
  <c r="AF43" i="10"/>
  <c r="AF42" i="10"/>
  <c r="AF41" i="10"/>
  <c r="AF40" i="10"/>
  <c r="AF39" i="10"/>
  <c r="AF38" i="10"/>
  <c r="AF37" i="10"/>
  <c r="AF36" i="10"/>
  <c r="AF35" i="10"/>
  <c r="AF34" i="10"/>
  <c r="AF33" i="10"/>
  <c r="AF32" i="10"/>
  <c r="AF31" i="10"/>
  <c r="AF30" i="10"/>
  <c r="AF29" i="10"/>
  <c r="AF28" i="10"/>
  <c r="AF27" i="10"/>
  <c r="AF26" i="10"/>
  <c r="AF25" i="10"/>
  <c r="AF24" i="10"/>
  <c r="AF23" i="10"/>
  <c r="AF22" i="10"/>
  <c r="AF21" i="10"/>
  <c r="AF20" i="10"/>
  <c r="AF19" i="10"/>
  <c r="AF18" i="10"/>
  <c r="AF17" i="10"/>
  <c r="AF16" i="10"/>
  <c r="AF15" i="10"/>
  <c r="AF14" i="10"/>
  <c r="AF13" i="10"/>
  <c r="AF12" i="10"/>
  <c r="AF11" i="10"/>
  <c r="AF10" i="10"/>
  <c r="AF9" i="10"/>
  <c r="AF8" i="10"/>
  <c r="AF7" i="10"/>
  <c r="AF6" i="10"/>
  <c r="AF5" i="10"/>
  <c r="K56" i="12" l="1"/>
  <c r="L52" i="12"/>
  <c r="P53" i="12"/>
  <c r="O53" i="12"/>
  <c r="P52" i="12"/>
  <c r="O52" i="12"/>
  <c r="L51" i="12"/>
  <c r="L53" i="12"/>
  <c r="P51" i="12"/>
  <c r="E56" i="12"/>
  <c r="O51" i="12"/>
  <c r="P55" i="12"/>
  <c r="O55" i="12"/>
  <c r="P54" i="12"/>
  <c r="L54" i="12"/>
  <c r="L55" i="12"/>
  <c r="P47" i="12"/>
  <c r="M44" i="13"/>
  <c r="M52" i="13" s="1"/>
  <c r="K44" i="13"/>
  <c r="K52" i="13" s="1"/>
  <c r="L44" i="13"/>
  <c r="L52" i="13" s="1"/>
  <c r="U43" i="10"/>
  <c r="U42" i="10"/>
  <c r="U41" i="10"/>
  <c r="U40" i="10"/>
  <c r="U39" i="10"/>
  <c r="U38" i="10"/>
  <c r="U37" i="10"/>
  <c r="U36" i="10"/>
  <c r="U35" i="10"/>
  <c r="U34" i="10"/>
  <c r="U33" i="10"/>
  <c r="U32" i="10"/>
  <c r="U31" i="10"/>
  <c r="U30" i="10"/>
  <c r="U29" i="10"/>
  <c r="U28" i="10"/>
  <c r="U27" i="10"/>
  <c r="U26" i="10"/>
  <c r="U25" i="10"/>
  <c r="U24" i="10"/>
  <c r="U23" i="10"/>
  <c r="U22" i="10"/>
  <c r="U21" i="10"/>
  <c r="U20" i="10"/>
  <c r="U19" i="10"/>
  <c r="U18" i="10"/>
  <c r="U17" i="10"/>
  <c r="U16" i="10"/>
  <c r="U15" i="10"/>
  <c r="U14" i="10"/>
  <c r="U13" i="10"/>
  <c r="U12" i="10"/>
  <c r="U11" i="10"/>
  <c r="U10" i="10"/>
  <c r="U9" i="10"/>
  <c r="U8" i="10"/>
  <c r="U7" i="10"/>
  <c r="U6" i="10"/>
  <c r="U5" i="10"/>
  <c r="U4" i="10"/>
  <c r="H20" i="11"/>
  <c r="H21" i="11" s="1"/>
  <c r="H22" i="11" s="1"/>
  <c r="P56" i="12" l="1"/>
  <c r="O56" i="12"/>
  <c r="K62" i="13"/>
  <c r="K67" i="13" s="1"/>
  <c r="K64" i="13"/>
  <c r="K69" i="13" s="1"/>
  <c r="K60" i="13"/>
  <c r="K65" i="13" s="1"/>
  <c r="K63" i="13"/>
  <c r="K68" i="13" s="1"/>
  <c r="K61" i="13"/>
  <c r="K66" i="13" s="1"/>
  <c r="L63" i="13"/>
  <c r="L68" i="13" s="1"/>
  <c r="L61" i="13"/>
  <c r="L66" i="13" s="1"/>
  <c r="L62" i="13"/>
  <c r="L67" i="13" s="1"/>
  <c r="L64" i="13"/>
  <c r="L69" i="13" s="1"/>
  <c r="L60" i="13"/>
  <c r="L65" i="13" s="1"/>
  <c r="M64" i="13"/>
  <c r="M69" i="13" s="1"/>
  <c r="M60" i="13"/>
  <c r="M65" i="13" s="1"/>
  <c r="M62" i="13"/>
  <c r="M67" i="13" s="1"/>
  <c r="M61" i="13"/>
  <c r="M66" i="13" s="1"/>
  <c r="M63" i="13"/>
  <c r="M68" i="13" s="1"/>
  <c r="AK28" i="10"/>
  <c r="AE28" i="10"/>
  <c r="AD28" i="10"/>
  <c r="AL28" i="10" s="1"/>
  <c r="V28" i="10"/>
  <c r="P28" i="10"/>
  <c r="O28" i="10"/>
  <c r="AK27" i="10"/>
  <c r="AE27" i="10"/>
  <c r="AD27" i="10"/>
  <c r="AL27" i="10" s="1"/>
  <c r="V27" i="10"/>
  <c r="P27" i="10"/>
  <c r="O27" i="10"/>
  <c r="AK26" i="10"/>
  <c r="AE26" i="10"/>
  <c r="AD26" i="10"/>
  <c r="AL26" i="10" s="1"/>
  <c r="V26" i="10"/>
  <c r="P26" i="10"/>
  <c r="O26" i="10"/>
  <c r="AK25" i="10"/>
  <c r="AE25" i="10"/>
  <c r="AD25" i="10"/>
  <c r="AL25" i="10" s="1"/>
  <c r="V25" i="10"/>
  <c r="P25" i="10"/>
  <c r="O25" i="10"/>
  <c r="AK24" i="10"/>
  <c r="AE24" i="10"/>
  <c r="AD24" i="10"/>
  <c r="AL24" i="10" s="1"/>
  <c r="V24" i="10"/>
  <c r="P24" i="10"/>
  <c r="O24" i="10"/>
  <c r="AK23" i="10"/>
  <c r="AE23" i="10"/>
  <c r="AD23" i="10"/>
  <c r="AL23" i="10" s="1"/>
  <c r="V23" i="10"/>
  <c r="W23" i="10" s="1"/>
  <c r="Y23" i="10" s="1"/>
  <c r="AC23" i="10" s="1"/>
  <c r="P23" i="10"/>
  <c r="O23" i="10"/>
  <c r="AK22" i="10"/>
  <c r="AE22" i="10"/>
  <c r="AD22" i="10"/>
  <c r="AL22" i="10" s="1"/>
  <c r="V22" i="10"/>
  <c r="W22" i="10" s="1"/>
  <c r="Y22" i="10" s="1"/>
  <c r="AC22" i="10" s="1"/>
  <c r="P22" i="10"/>
  <c r="O22" i="10"/>
  <c r="AK21" i="10"/>
  <c r="AE21" i="10"/>
  <c r="AD21" i="10"/>
  <c r="AL21" i="10" s="1"/>
  <c r="V21" i="10"/>
  <c r="P21" i="10"/>
  <c r="O21" i="10"/>
  <c r="AK20" i="10"/>
  <c r="AE20" i="10"/>
  <c r="AD20" i="10"/>
  <c r="AL20" i="10" s="1"/>
  <c r="V20" i="10"/>
  <c r="W20" i="10" s="1"/>
  <c r="Y20" i="10" s="1"/>
  <c r="AC20" i="10" s="1"/>
  <c r="P20" i="10"/>
  <c r="O20" i="10"/>
  <c r="AK19" i="10"/>
  <c r="AE19" i="10"/>
  <c r="AD19" i="10"/>
  <c r="AL19" i="10" s="1"/>
  <c r="V19" i="10"/>
  <c r="P19" i="10"/>
  <c r="O19" i="10"/>
  <c r="AK38" i="10"/>
  <c r="AE38" i="10"/>
  <c r="AD38" i="10"/>
  <c r="AL38" i="10" s="1"/>
  <c r="V38" i="10"/>
  <c r="P38" i="10"/>
  <c r="O38" i="10"/>
  <c r="AK37" i="10"/>
  <c r="AE37" i="10"/>
  <c r="AD37" i="10"/>
  <c r="AL37" i="10" s="1"/>
  <c r="V37" i="10"/>
  <c r="P37" i="10"/>
  <c r="O37" i="10"/>
  <c r="AK36" i="10"/>
  <c r="AE36" i="10"/>
  <c r="AD36" i="10"/>
  <c r="AL36" i="10" s="1"/>
  <c r="V36" i="10"/>
  <c r="P36" i="10"/>
  <c r="O36" i="10"/>
  <c r="AK35" i="10"/>
  <c r="AE35" i="10"/>
  <c r="AD35" i="10"/>
  <c r="AL35" i="10" s="1"/>
  <c r="V35" i="10"/>
  <c r="P35" i="10"/>
  <c r="O35" i="10"/>
  <c r="AK34" i="10"/>
  <c r="AE34" i="10"/>
  <c r="AD34" i="10"/>
  <c r="AL34" i="10" s="1"/>
  <c r="V34" i="10"/>
  <c r="P34" i="10"/>
  <c r="O34" i="10"/>
  <c r="AK33" i="10"/>
  <c r="AE33" i="10"/>
  <c r="AD33" i="10"/>
  <c r="AL33" i="10" s="1"/>
  <c r="V33" i="10"/>
  <c r="P33" i="10"/>
  <c r="O33" i="10"/>
  <c r="AK32" i="10"/>
  <c r="AE32" i="10"/>
  <c r="AD32" i="10"/>
  <c r="AL32" i="10" s="1"/>
  <c r="V32" i="10"/>
  <c r="P32" i="10"/>
  <c r="O32" i="10"/>
  <c r="AK31" i="10"/>
  <c r="AE31" i="10"/>
  <c r="AD31" i="10"/>
  <c r="AL31" i="10" s="1"/>
  <c r="V31" i="10"/>
  <c r="W31" i="10" s="1"/>
  <c r="Y31" i="10" s="1"/>
  <c r="AC31" i="10" s="1"/>
  <c r="P31" i="10"/>
  <c r="O31" i="10"/>
  <c r="AK30" i="10"/>
  <c r="AE30" i="10"/>
  <c r="AD30" i="10"/>
  <c r="AL30" i="10" s="1"/>
  <c r="V30" i="10"/>
  <c r="W30" i="10" s="1"/>
  <c r="Y30" i="10" s="1"/>
  <c r="AC30" i="10" s="1"/>
  <c r="P30" i="10"/>
  <c r="O30" i="10"/>
  <c r="AK29" i="10"/>
  <c r="AE29" i="10"/>
  <c r="AD29" i="10"/>
  <c r="AL29" i="10" s="1"/>
  <c r="V29" i="10"/>
  <c r="P29" i="10"/>
  <c r="O29" i="10"/>
  <c r="V5" i="10"/>
  <c r="W5" i="10" s="1"/>
  <c r="Y5" i="10" s="1"/>
  <c r="V42" i="10"/>
  <c r="V41" i="10"/>
  <c r="W41" i="10" s="1"/>
  <c r="Y41" i="10" s="1"/>
  <c r="V40" i="10"/>
  <c r="W40" i="10" s="1"/>
  <c r="Y40" i="10" s="1"/>
  <c r="V39" i="10"/>
  <c r="V18" i="10"/>
  <c r="W18" i="10" s="1"/>
  <c r="Y18" i="10" s="1"/>
  <c r="V17" i="10"/>
  <c r="V16" i="10"/>
  <c r="W16" i="10" s="1"/>
  <c r="Y16" i="10" s="1"/>
  <c r="V15" i="10"/>
  <c r="V14" i="10"/>
  <c r="V13" i="10"/>
  <c r="V11" i="10"/>
  <c r="W11" i="10" s="1"/>
  <c r="Y11" i="10" s="1"/>
  <c r="V10" i="10"/>
  <c r="V9" i="10"/>
  <c r="V8" i="10"/>
  <c r="V7" i="10"/>
  <c r="W7" i="10" s="1"/>
  <c r="Y7" i="10" s="1"/>
  <c r="V6" i="10"/>
  <c r="W6" i="10" s="1"/>
  <c r="Y6" i="10" s="1"/>
  <c r="AD43" i="10"/>
  <c r="AL43" i="10" s="1"/>
  <c r="AD42" i="10"/>
  <c r="AL42" i="10" s="1"/>
  <c r="AD41" i="10"/>
  <c r="AL41" i="10" s="1"/>
  <c r="AD40" i="10"/>
  <c r="AL40" i="10" s="1"/>
  <c r="AD39" i="10"/>
  <c r="AL39" i="10" s="1"/>
  <c r="AD18" i="10"/>
  <c r="AL18" i="10" s="1"/>
  <c r="AD17" i="10"/>
  <c r="AL17" i="10" s="1"/>
  <c r="AD16" i="10"/>
  <c r="AL16" i="10" s="1"/>
  <c r="AD15" i="10"/>
  <c r="AL15" i="10" s="1"/>
  <c r="AD14" i="10"/>
  <c r="AL14" i="10" s="1"/>
  <c r="AD13" i="10"/>
  <c r="AL13" i="10" s="1"/>
  <c r="AD11" i="10"/>
  <c r="AL11" i="10" s="1"/>
  <c r="AD10" i="10"/>
  <c r="AL10" i="10" s="1"/>
  <c r="AD9" i="10"/>
  <c r="AL9" i="10" s="1"/>
  <c r="AD8" i="10"/>
  <c r="AL8" i="10" s="1"/>
  <c r="AD7" i="10"/>
  <c r="AL7" i="10" s="1"/>
  <c r="AD6" i="10"/>
  <c r="AL6" i="10" s="1"/>
  <c r="AD5" i="10"/>
  <c r="AL5" i="10" s="1"/>
  <c r="AD4" i="10"/>
  <c r="AL4" i="10" s="1"/>
  <c r="V43" i="10"/>
  <c r="V12" i="10"/>
  <c r="W12" i="10" s="1"/>
  <c r="Y12" i="10" s="1"/>
  <c r="V4" i="10"/>
  <c r="D85" i="10"/>
  <c r="D86" i="10" s="1"/>
  <c r="C85" i="10"/>
  <c r="C86" i="10" s="1"/>
  <c r="D81" i="10"/>
  <c r="E81" i="10" s="1"/>
  <c r="D80" i="10"/>
  <c r="E80" i="10" s="1"/>
  <c r="D79" i="10"/>
  <c r="AK5" i="10" s="1"/>
  <c r="D78" i="10"/>
  <c r="E78" i="10" s="1"/>
  <c r="D66" i="10"/>
  <c r="C47" i="10" s="1"/>
  <c r="H24" i="10" s="1"/>
  <c r="C66" i="10"/>
  <c r="D61" i="10"/>
  <c r="C61" i="10"/>
  <c r="C52" i="10" s="1"/>
  <c r="C50" i="10"/>
  <c r="J28" i="10" s="1"/>
  <c r="C48" i="10"/>
  <c r="I26" i="10" s="1"/>
  <c r="AK43" i="10"/>
  <c r="AE43" i="10"/>
  <c r="P43" i="10"/>
  <c r="O43" i="10"/>
  <c r="AK42" i="10"/>
  <c r="AE42" i="10"/>
  <c r="P42" i="10"/>
  <c r="O42" i="10"/>
  <c r="AK41" i="10"/>
  <c r="AE41" i="10"/>
  <c r="P41" i="10"/>
  <c r="O41" i="10"/>
  <c r="AK40" i="10"/>
  <c r="AE40" i="10"/>
  <c r="P40" i="10"/>
  <c r="O40" i="10"/>
  <c r="AK39" i="10"/>
  <c r="AE39" i="10"/>
  <c r="P39" i="10"/>
  <c r="O39" i="10"/>
  <c r="M39" i="10"/>
  <c r="AK18" i="10"/>
  <c r="AE18" i="10"/>
  <c r="P18" i="10"/>
  <c r="O18" i="10"/>
  <c r="AK17" i="10"/>
  <c r="AE17" i="10"/>
  <c r="P17" i="10"/>
  <c r="O17" i="10"/>
  <c r="AK16" i="10"/>
  <c r="AE16" i="10"/>
  <c r="P16" i="10"/>
  <c r="O16" i="10"/>
  <c r="AK15" i="10"/>
  <c r="AE15" i="10"/>
  <c r="P15" i="10"/>
  <c r="O15" i="10"/>
  <c r="J15" i="10"/>
  <c r="AK14" i="10"/>
  <c r="AE14" i="10"/>
  <c r="P14" i="10"/>
  <c r="O14" i="10"/>
  <c r="AK13" i="10"/>
  <c r="AE13" i="10"/>
  <c r="P13" i="10"/>
  <c r="O13" i="10"/>
  <c r="AK12" i="10"/>
  <c r="AE12" i="10"/>
  <c r="O12" i="10"/>
  <c r="AK11" i="10"/>
  <c r="AE11" i="10"/>
  <c r="P11" i="10"/>
  <c r="O11" i="10"/>
  <c r="AK10" i="10"/>
  <c r="AE10" i="10"/>
  <c r="P10" i="10"/>
  <c r="O10" i="10"/>
  <c r="J10" i="10"/>
  <c r="AK9" i="10"/>
  <c r="AE9" i="10"/>
  <c r="P9" i="10"/>
  <c r="O9" i="10"/>
  <c r="AK8" i="10"/>
  <c r="AE8" i="10"/>
  <c r="P8" i="10"/>
  <c r="O8" i="10"/>
  <c r="AK7" i="10"/>
  <c r="AE7" i="10"/>
  <c r="P7" i="10"/>
  <c r="O7" i="10"/>
  <c r="M7" i="10"/>
  <c r="P6" i="10"/>
  <c r="I6" i="10"/>
  <c r="AE6" i="10"/>
  <c r="P5" i="10"/>
  <c r="O5" i="10"/>
  <c r="AK4" i="10"/>
  <c r="AE4" i="10"/>
  <c r="P4" i="10"/>
  <c r="O4" i="10"/>
  <c r="H4" i="10"/>
  <c r="J31" i="10" l="1"/>
  <c r="M28" i="10"/>
  <c r="J4" i="10"/>
  <c r="J8" i="10"/>
  <c r="J12" i="10"/>
  <c r="J42" i="10"/>
  <c r="H27" i="10"/>
  <c r="O6" i="10"/>
  <c r="M8" i="10"/>
  <c r="M13" i="10"/>
  <c r="H29" i="10"/>
  <c r="K29" i="10" s="1"/>
  <c r="J38" i="10"/>
  <c r="J26" i="10"/>
  <c r="J34" i="10"/>
  <c r="J22" i="10"/>
  <c r="J13" i="10"/>
  <c r="J17" i="10"/>
  <c r="M30" i="10"/>
  <c r="M21" i="10"/>
  <c r="M17" i="10"/>
  <c r="H43" i="10"/>
  <c r="M9" i="10"/>
  <c r="M14" i="10"/>
  <c r="J39" i="10"/>
  <c r="M37" i="10"/>
  <c r="M25" i="10"/>
  <c r="I32" i="10"/>
  <c r="I35" i="10"/>
  <c r="I19" i="10"/>
  <c r="I23" i="10"/>
  <c r="I7" i="10"/>
  <c r="E79" i="10"/>
  <c r="I29" i="10"/>
  <c r="M31" i="10"/>
  <c r="J32" i="10"/>
  <c r="I33" i="10"/>
  <c r="M34" i="10"/>
  <c r="J35" i="10"/>
  <c r="I36" i="10"/>
  <c r="M38" i="10"/>
  <c r="Q38" i="10" s="1"/>
  <c r="J19" i="10"/>
  <c r="I20" i="10"/>
  <c r="M22" i="10"/>
  <c r="J23" i="10"/>
  <c r="AI23" i="10"/>
  <c r="I24" i="10"/>
  <c r="K24" i="10" s="1"/>
  <c r="M26" i="10"/>
  <c r="I27" i="10"/>
  <c r="K27" i="10" s="1"/>
  <c r="M4" i="10"/>
  <c r="J7" i="10"/>
  <c r="H9" i="10"/>
  <c r="M10" i="10"/>
  <c r="H14" i="10"/>
  <c r="M15" i="10"/>
  <c r="M18" i="10"/>
  <c r="J40" i="10"/>
  <c r="J43" i="10"/>
  <c r="J29" i="10"/>
  <c r="I30" i="10"/>
  <c r="M32" i="10"/>
  <c r="J33" i="10"/>
  <c r="M35" i="10"/>
  <c r="J36" i="10"/>
  <c r="I37" i="10"/>
  <c r="M19" i="10"/>
  <c r="J20" i="10"/>
  <c r="I21" i="10"/>
  <c r="M23" i="10"/>
  <c r="J24" i="10"/>
  <c r="I25" i="10"/>
  <c r="J27" i="10"/>
  <c r="I28" i="10"/>
  <c r="I5" i="10"/>
  <c r="AK6" i="10"/>
  <c r="I8" i="10"/>
  <c r="J9" i="10"/>
  <c r="J11" i="10"/>
  <c r="J14" i="10"/>
  <c r="J16" i="10"/>
  <c r="J18" i="10"/>
  <c r="J41" i="10"/>
  <c r="M43" i="10"/>
  <c r="M29" i="10"/>
  <c r="J30" i="10"/>
  <c r="I31" i="10"/>
  <c r="M33" i="10"/>
  <c r="I34" i="10"/>
  <c r="M36" i="10"/>
  <c r="J37" i="10"/>
  <c r="I38" i="10"/>
  <c r="M20" i="10"/>
  <c r="J21" i="10"/>
  <c r="I22" i="10"/>
  <c r="M24" i="10"/>
  <c r="J25" i="10"/>
  <c r="M27" i="10"/>
  <c r="N8" i="10"/>
  <c r="AN8" i="10" s="1"/>
  <c r="N25" i="10"/>
  <c r="N34" i="10"/>
  <c r="AN34" i="10" s="1"/>
  <c r="N29" i="10"/>
  <c r="AN29" i="10" s="1"/>
  <c r="N40" i="10"/>
  <c r="N11" i="10"/>
  <c r="N35" i="10"/>
  <c r="AN35" i="10" s="1"/>
  <c r="N31" i="10"/>
  <c r="AN31" i="10" s="1"/>
  <c r="N28" i="10"/>
  <c r="N23" i="10"/>
  <c r="N20" i="10"/>
  <c r="AN20" i="10" s="1"/>
  <c r="N37" i="10"/>
  <c r="AN37" i="10" s="1"/>
  <c r="N33" i="10"/>
  <c r="AJ22" i="10"/>
  <c r="N36" i="10"/>
  <c r="N38" i="10"/>
  <c r="N19" i="10"/>
  <c r="Q19" i="10" s="1"/>
  <c r="N21" i="10"/>
  <c r="N22" i="10"/>
  <c r="AN22" i="10" s="1"/>
  <c r="N27" i="10"/>
  <c r="AN25" i="10"/>
  <c r="N30" i="10"/>
  <c r="AN30" i="10" s="1"/>
  <c r="N32" i="10"/>
  <c r="N24" i="10"/>
  <c r="Q25" i="10"/>
  <c r="N26" i="10"/>
  <c r="AN26" i="10" s="1"/>
  <c r="Q28" i="10"/>
  <c r="H30" i="10"/>
  <c r="H21" i="10"/>
  <c r="H28" i="10"/>
  <c r="H38" i="10"/>
  <c r="K38" i="10" s="1"/>
  <c r="H31" i="10"/>
  <c r="K31" i="10" s="1"/>
  <c r="H35" i="10"/>
  <c r="H33" i="10"/>
  <c r="H34" i="10"/>
  <c r="K34" i="10" s="1"/>
  <c r="H37" i="10"/>
  <c r="H20" i="10"/>
  <c r="K20" i="10" s="1"/>
  <c r="H23" i="10"/>
  <c r="H25" i="10"/>
  <c r="K25" i="10" s="1"/>
  <c r="H26" i="10"/>
  <c r="K26" i="10" s="1"/>
  <c r="H32" i="10"/>
  <c r="K32" i="10" s="1"/>
  <c r="H36" i="10"/>
  <c r="K36" i="10" s="1"/>
  <c r="H19" i="10"/>
  <c r="K19" i="10" s="1"/>
  <c r="H22" i="10"/>
  <c r="W29" i="10"/>
  <c r="Y29" i="10" s="1"/>
  <c r="AC29" i="10" s="1"/>
  <c r="W38" i="10"/>
  <c r="Y38" i="10" s="1"/>
  <c r="AC38" i="10" s="1"/>
  <c r="AG38" i="10" s="1"/>
  <c r="AH38" i="10" s="1"/>
  <c r="W21" i="10"/>
  <c r="Y21" i="10" s="1"/>
  <c r="AC21" i="10" s="1"/>
  <c r="W13" i="10"/>
  <c r="Y13" i="10" s="1"/>
  <c r="AC13" i="10" s="1"/>
  <c r="W17" i="10"/>
  <c r="Y17" i="10" s="1"/>
  <c r="AC17" i="10" s="1"/>
  <c r="AC9" i="10"/>
  <c r="AI9" i="10" s="1"/>
  <c r="W9" i="10"/>
  <c r="Y9" i="10" s="1"/>
  <c r="W14" i="10"/>
  <c r="Y14" i="10" s="1"/>
  <c r="AC14" i="10" s="1"/>
  <c r="W42" i="10"/>
  <c r="Y42" i="10" s="1"/>
  <c r="AC42" i="10" s="1"/>
  <c r="W19" i="10"/>
  <c r="Y19" i="10" s="1"/>
  <c r="AC19" i="10" s="1"/>
  <c r="W24" i="10"/>
  <c r="Y24" i="10" s="1"/>
  <c r="AC24" i="10" s="1"/>
  <c r="W8" i="10"/>
  <c r="Y8" i="10" s="1"/>
  <c r="AC8" i="10" s="1"/>
  <c r="W34" i="10"/>
  <c r="Y34" i="10" s="1"/>
  <c r="AC34" i="10" s="1"/>
  <c r="W43" i="10"/>
  <c r="Y43" i="10" s="1"/>
  <c r="AC43" i="10" s="1"/>
  <c r="W10" i="10"/>
  <c r="Y10" i="10" s="1"/>
  <c r="AC10" i="10" s="1"/>
  <c r="W15" i="10"/>
  <c r="Y15" i="10" s="1"/>
  <c r="AC15" i="10" s="1"/>
  <c r="W39" i="10"/>
  <c r="Y39" i="10" s="1"/>
  <c r="AC39" i="10" s="1"/>
  <c r="AI39" i="10" s="1"/>
  <c r="W32" i="10"/>
  <c r="Y32" i="10" s="1"/>
  <c r="AC32" i="10" s="1"/>
  <c r="W33" i="10"/>
  <c r="Y33" i="10" s="1"/>
  <c r="AC33" i="10" s="1"/>
  <c r="AI33" i="10" s="1"/>
  <c r="W35" i="10"/>
  <c r="Y35" i="10" s="1"/>
  <c r="AC35" i="10" s="1"/>
  <c r="W36" i="10"/>
  <c r="Y36" i="10" s="1"/>
  <c r="AC36" i="10" s="1"/>
  <c r="W37" i="10"/>
  <c r="Y37" i="10" s="1"/>
  <c r="AC37" i="10" s="1"/>
  <c r="W25" i="10"/>
  <c r="Y25" i="10" s="1"/>
  <c r="AC25" i="10" s="1"/>
  <c r="AI25" i="10" s="1"/>
  <c r="W26" i="10"/>
  <c r="Y26" i="10" s="1"/>
  <c r="AC26" i="10" s="1"/>
  <c r="W27" i="10"/>
  <c r="Y27" i="10" s="1"/>
  <c r="AC27" i="10" s="1"/>
  <c r="W28" i="10"/>
  <c r="Y28" i="10" s="1"/>
  <c r="AC28" i="10" s="1"/>
  <c r="W4" i="10"/>
  <c r="Y4" i="10" s="1"/>
  <c r="AC4" i="10" s="1"/>
  <c r="AG23" i="10"/>
  <c r="AH23" i="10" s="1"/>
  <c r="Q20" i="10"/>
  <c r="AG20" i="10"/>
  <c r="AH20" i="10" s="1"/>
  <c r="AI20" i="10"/>
  <c r="AJ23" i="10"/>
  <c r="AJ20" i="10"/>
  <c r="AI22" i="10"/>
  <c r="AG22" i="10"/>
  <c r="AH22" i="10" s="1"/>
  <c r="AG30" i="10"/>
  <c r="AH30" i="10" s="1"/>
  <c r="AI30" i="10"/>
  <c r="AI31" i="10"/>
  <c r="AG31" i="10"/>
  <c r="AH31" i="10" s="1"/>
  <c r="AQ31" i="10" s="1"/>
  <c r="AR31" i="10" s="1"/>
  <c r="AJ30" i="10"/>
  <c r="Q33" i="10"/>
  <c r="Q8" i="10"/>
  <c r="AJ31" i="10"/>
  <c r="M11" i="10"/>
  <c r="AC5" i="10"/>
  <c r="AI5" i="10" s="1"/>
  <c r="AC7" i="10"/>
  <c r="AD12" i="10"/>
  <c r="AL12" i="10" s="1"/>
  <c r="AC18" i="10"/>
  <c r="J6" i="10"/>
  <c r="H7" i="10"/>
  <c r="H18" i="10"/>
  <c r="M42" i="10"/>
  <c r="N6" i="10"/>
  <c r="H11" i="10"/>
  <c r="AC11" i="10"/>
  <c r="N12" i="10"/>
  <c r="AN12" i="10" s="1"/>
  <c r="AC12" i="10"/>
  <c r="M12" i="10"/>
  <c r="M6" i="10"/>
  <c r="AC16" i="10"/>
  <c r="M16" i="10"/>
  <c r="H16" i="10"/>
  <c r="J5" i="10"/>
  <c r="AE5" i="10"/>
  <c r="H6" i="10"/>
  <c r="H12" i="10"/>
  <c r="M40" i="10"/>
  <c r="Q40" i="10" s="1"/>
  <c r="H40" i="10"/>
  <c r="AC40" i="10"/>
  <c r="N14" i="10"/>
  <c r="N43" i="10"/>
  <c r="N18" i="10"/>
  <c r="AN18" i="10" s="1"/>
  <c r="N17" i="10"/>
  <c r="N9" i="10"/>
  <c r="N39" i="10"/>
  <c r="N15" i="10"/>
  <c r="N13" i="10"/>
  <c r="N10" i="10"/>
  <c r="N4" i="10"/>
  <c r="AN4" i="10" s="1"/>
  <c r="H39" i="10"/>
  <c r="H13" i="10"/>
  <c r="H10" i="10"/>
  <c r="H15" i="10"/>
  <c r="H8" i="10"/>
  <c r="K8" i="10" s="1"/>
  <c r="H42" i="10"/>
  <c r="H17" i="10"/>
  <c r="N5" i="10"/>
  <c r="AN5" i="10" s="1"/>
  <c r="N16" i="10"/>
  <c r="M41" i="10"/>
  <c r="H41" i="10"/>
  <c r="N41" i="10"/>
  <c r="AN41" i="10" s="1"/>
  <c r="I14" i="10"/>
  <c r="K14" i="10" s="1"/>
  <c r="I43" i="10"/>
  <c r="K43" i="10" s="1"/>
  <c r="I42" i="10"/>
  <c r="I18" i="10"/>
  <c r="I17" i="10"/>
  <c r="I12" i="10"/>
  <c r="I9" i="10"/>
  <c r="I4" i="10"/>
  <c r="K4" i="10" s="1"/>
  <c r="H5" i="10"/>
  <c r="M5" i="10"/>
  <c r="N7" i="10"/>
  <c r="I10" i="10"/>
  <c r="I11" i="10"/>
  <c r="I41" i="10"/>
  <c r="AC41" i="10"/>
  <c r="I13" i="10"/>
  <c r="I15" i="10"/>
  <c r="I16" i="10"/>
  <c r="I39" i="10"/>
  <c r="I40" i="10"/>
  <c r="N42" i="10"/>
  <c r="P12" i="10"/>
  <c r="Q32" i="10" l="1"/>
  <c r="K23" i="10"/>
  <c r="AQ23" i="10" s="1"/>
  <c r="AR23" i="10" s="1"/>
  <c r="K33" i="10"/>
  <c r="AO20" i="10"/>
  <c r="K22" i="10"/>
  <c r="K35" i="10"/>
  <c r="K7" i="10"/>
  <c r="AN24" i="10"/>
  <c r="Q27" i="10"/>
  <c r="AN33" i="10"/>
  <c r="AN28" i="10"/>
  <c r="AG10" i="10"/>
  <c r="AH10" i="10" s="1"/>
  <c r="AJ10" i="10"/>
  <c r="AN42" i="10"/>
  <c r="AN16" i="10"/>
  <c r="AG5" i="10"/>
  <c r="AN6" i="10"/>
  <c r="K30" i="10"/>
  <c r="AN36" i="10"/>
  <c r="AO36" i="10" s="1"/>
  <c r="AN40" i="10"/>
  <c r="K9" i="10"/>
  <c r="AQ30" i="10"/>
  <c r="AR30" i="10" s="1"/>
  <c r="K28" i="10"/>
  <c r="AN32" i="10"/>
  <c r="AN23" i="10"/>
  <c r="Q23" i="10"/>
  <c r="Q41" i="10"/>
  <c r="AQ38" i="10"/>
  <c r="AR38" i="10" s="1"/>
  <c r="K37" i="10"/>
  <c r="K21" i="10"/>
  <c r="AO22" i="10"/>
  <c r="AT22" i="10" s="1"/>
  <c r="Q37" i="10"/>
  <c r="AN11" i="10"/>
  <c r="Q31" i="10"/>
  <c r="Q35" i="10"/>
  <c r="Q24" i="10"/>
  <c r="Q34" i="10"/>
  <c r="AO31" i="10"/>
  <c r="Q22" i="10"/>
  <c r="Q29" i="10"/>
  <c r="AN13" i="10"/>
  <c r="AN21" i="10"/>
  <c r="Q39" i="10"/>
  <c r="AN39" i="10"/>
  <c r="Q43" i="10"/>
  <c r="AN43" i="10"/>
  <c r="Q36" i="10"/>
  <c r="Q26" i="10"/>
  <c r="AN38" i="10"/>
  <c r="AN17" i="10"/>
  <c r="AN15" i="10"/>
  <c r="AO30" i="10"/>
  <c r="AN19" i="10"/>
  <c r="Q7" i="10"/>
  <c r="AN7" i="10"/>
  <c r="AN10" i="10"/>
  <c r="AN9" i="10"/>
  <c r="AN14" i="10"/>
  <c r="AO23" i="10"/>
  <c r="AN27" i="10"/>
  <c r="Q30" i="10"/>
  <c r="Q21" i="10"/>
  <c r="AQ20" i="10"/>
  <c r="AR20" i="10" s="1"/>
  <c r="K5" i="10"/>
  <c r="AG36" i="10"/>
  <c r="AH36" i="10" s="1"/>
  <c r="AQ36" i="10" s="1"/>
  <c r="AR36" i="10" s="1"/>
  <c r="AJ36" i="10"/>
  <c r="AG13" i="10"/>
  <c r="AH13" i="10" s="1"/>
  <c r="AJ13" i="10"/>
  <c r="AG27" i="10"/>
  <c r="AH27" i="10" s="1"/>
  <c r="AQ27" i="10" s="1"/>
  <c r="AR27" i="10" s="1"/>
  <c r="AJ27" i="10"/>
  <c r="AI24" i="10"/>
  <c r="AG24" i="10"/>
  <c r="AH24" i="10" s="1"/>
  <c r="AQ24" i="10" s="1"/>
  <c r="AR24" i="10" s="1"/>
  <c r="AJ34" i="10"/>
  <c r="AG34" i="10"/>
  <c r="AH34" i="10" s="1"/>
  <c r="AQ34" i="10" s="1"/>
  <c r="AR34" i="10" s="1"/>
  <c r="AJ42" i="10"/>
  <c r="AI42" i="10"/>
  <c r="AG25" i="10"/>
  <c r="AH25" i="10" s="1"/>
  <c r="AQ25" i="10" s="1"/>
  <c r="AR25" i="10" s="1"/>
  <c r="AJ43" i="10"/>
  <c r="AG43" i="10"/>
  <c r="AH43" i="10" s="1"/>
  <c r="AQ43" i="10" s="1"/>
  <c r="AR43" i="10" s="1"/>
  <c r="AI43" i="10"/>
  <c r="AI26" i="10"/>
  <c r="AG26" i="10"/>
  <c r="AH26" i="10" s="1"/>
  <c r="AQ26" i="10" s="1"/>
  <c r="AR26" i="10" s="1"/>
  <c r="AJ26" i="10"/>
  <c r="AG15" i="10"/>
  <c r="AH15" i="10" s="1"/>
  <c r="AJ15" i="10"/>
  <c r="AI15" i="10"/>
  <c r="AJ28" i="10"/>
  <c r="AG28" i="10"/>
  <c r="AH28" i="10" s="1"/>
  <c r="AI28" i="10"/>
  <c r="AI35" i="10"/>
  <c r="AJ35" i="10"/>
  <c r="AG35" i="10"/>
  <c r="AH35" i="10" s="1"/>
  <c r="AQ35" i="10" s="1"/>
  <c r="AR35" i="10" s="1"/>
  <c r="AG8" i="10"/>
  <c r="AH8" i="10" s="1"/>
  <c r="AQ8" i="10" s="1"/>
  <c r="AR8" i="10" s="1"/>
  <c r="AI8" i="10"/>
  <c r="AJ8" i="10"/>
  <c r="AO8" i="10" s="1"/>
  <c r="AT8" i="10" s="1"/>
  <c r="AI21" i="10"/>
  <c r="AG21" i="10"/>
  <c r="AH21" i="10" s="1"/>
  <c r="AJ21" i="10"/>
  <c r="AJ37" i="10"/>
  <c r="AI37" i="10"/>
  <c r="AG37" i="10"/>
  <c r="AH37" i="10" s="1"/>
  <c r="AJ17" i="10"/>
  <c r="AG17" i="10"/>
  <c r="AH17" i="10" s="1"/>
  <c r="AI17" i="10"/>
  <c r="AG14" i="10"/>
  <c r="AH14" i="10" s="1"/>
  <c r="AQ14" i="10" s="1"/>
  <c r="AR14" i="10" s="1"/>
  <c r="AI14" i="10"/>
  <c r="AJ14" i="10"/>
  <c r="AJ32" i="10"/>
  <c r="AI32" i="10"/>
  <c r="AG32" i="10"/>
  <c r="AH32" i="10" s="1"/>
  <c r="AQ32" i="10" s="1"/>
  <c r="AR32" i="10" s="1"/>
  <c r="AG19" i="10"/>
  <c r="AH19" i="10" s="1"/>
  <c r="AQ19" i="10" s="1"/>
  <c r="AR19" i="10" s="1"/>
  <c r="AJ19" i="10"/>
  <c r="AI19" i="10"/>
  <c r="AI29" i="10"/>
  <c r="AG29" i="10"/>
  <c r="AH29" i="10" s="1"/>
  <c r="AQ29" i="10" s="1"/>
  <c r="AR29" i="10" s="1"/>
  <c r="AJ29" i="10"/>
  <c r="AI10" i="10"/>
  <c r="AG42" i="10"/>
  <c r="AH42" i="10" s="1"/>
  <c r="AG9" i="10"/>
  <c r="AH9" i="10" s="1"/>
  <c r="AQ9" i="10" s="1"/>
  <c r="AR9" i="10" s="1"/>
  <c r="AI13" i="10"/>
  <c r="AG39" i="10"/>
  <c r="AH39" i="10" s="1"/>
  <c r="AJ9" i="10"/>
  <c r="AI38" i="10"/>
  <c r="AG33" i="10"/>
  <c r="AH33" i="10" s="1"/>
  <c r="AI34" i="10"/>
  <c r="AI36" i="10"/>
  <c r="AJ25" i="10"/>
  <c r="AJ24" i="10"/>
  <c r="AI27" i="10"/>
  <c r="AJ33" i="10"/>
  <c r="AJ38" i="10"/>
  <c r="AJ39" i="10"/>
  <c r="AJ4" i="10"/>
  <c r="AI4" i="10"/>
  <c r="AG4" i="10"/>
  <c r="AH4" i="10" s="1"/>
  <c r="AQ4" i="10" s="1"/>
  <c r="AR4" i="10" s="1"/>
  <c r="AT20" i="10"/>
  <c r="AQ22" i="10"/>
  <c r="AR22" i="10" s="1"/>
  <c r="K39" i="10"/>
  <c r="Q10" i="10"/>
  <c r="Q15" i="10"/>
  <c r="K17" i="10"/>
  <c r="Q18" i="10"/>
  <c r="K40" i="10"/>
  <c r="K6" i="10"/>
  <c r="K16" i="10"/>
  <c r="Q5" i="10"/>
  <c r="K41" i="10"/>
  <c r="K42" i="10"/>
  <c r="Q16" i="10"/>
  <c r="Q9" i="10"/>
  <c r="Q4" i="10"/>
  <c r="Q42" i="10"/>
  <c r="Q13" i="10"/>
  <c r="Q17" i="10"/>
  <c r="Q6" i="10"/>
  <c r="Q12" i="10"/>
  <c r="Q14" i="10"/>
  <c r="AJ5" i="10"/>
  <c r="AO5" i="10" s="1"/>
  <c r="AG7" i="10"/>
  <c r="AH7" i="10" s="1"/>
  <c r="AJ18" i="10"/>
  <c r="AI7" i="10"/>
  <c r="K11" i="10"/>
  <c r="Q11" i="10"/>
  <c r="AJ7" i="10"/>
  <c r="AG18" i="10"/>
  <c r="AH18" i="10" s="1"/>
  <c r="AI18" i="10"/>
  <c r="K18" i="10"/>
  <c r="K12" i="10"/>
  <c r="K15" i="10"/>
  <c r="AH5" i="10"/>
  <c r="AJ6" i="10"/>
  <c r="AI6" i="10"/>
  <c r="AG6" i="10"/>
  <c r="AH6" i="10" s="1"/>
  <c r="AJ12" i="10"/>
  <c r="AI12" i="10"/>
  <c r="AG12" i="10"/>
  <c r="AH12" i="10" s="1"/>
  <c r="AQ12" i="10" s="1"/>
  <c r="AR12" i="10" s="1"/>
  <c r="AI11" i="10"/>
  <c r="AG11" i="10"/>
  <c r="AH11" i="10" s="1"/>
  <c r="AJ11" i="10"/>
  <c r="AJ41" i="10"/>
  <c r="AG41" i="10"/>
  <c r="AH41" i="10" s="1"/>
  <c r="AI41" i="10"/>
  <c r="K10" i="10"/>
  <c r="K13" i="10"/>
  <c r="AI40" i="10"/>
  <c r="AG40" i="10"/>
  <c r="AH40" i="10" s="1"/>
  <c r="AJ40" i="10"/>
  <c r="AG16" i="10"/>
  <c r="AH16" i="10" s="1"/>
  <c r="AI16" i="10"/>
  <c r="AJ16" i="10"/>
  <c r="AX8" i="10" l="1"/>
  <c r="AY8" i="10"/>
  <c r="AW8" i="10"/>
  <c r="AV8" i="10"/>
  <c r="AY20" i="10"/>
  <c r="AV20" i="10"/>
  <c r="AX20" i="10"/>
  <c r="AW20" i="10"/>
  <c r="AY22" i="10"/>
  <c r="AV22" i="10"/>
  <c r="AX22" i="10"/>
  <c r="AW22" i="10"/>
  <c r="AU22" i="10"/>
  <c r="AU8" i="10"/>
  <c r="AU20" i="10"/>
  <c r="AT31" i="10"/>
  <c r="AQ7" i="10"/>
  <c r="AR7" i="10" s="1"/>
  <c r="AQ33" i="10"/>
  <c r="AR33" i="10" s="1"/>
  <c r="AT30" i="10"/>
  <c r="AQ5" i="10"/>
  <c r="AR5" i="10" s="1"/>
  <c r="AO16" i="10"/>
  <c r="AT16" i="10" s="1"/>
  <c r="AO12" i="10"/>
  <c r="AT12" i="10" s="1"/>
  <c r="AQ39" i="10"/>
  <c r="AR39" i="10" s="1"/>
  <c r="AO37" i="10"/>
  <c r="AT37" i="10" s="1"/>
  <c r="AO28" i="10"/>
  <c r="AT28" i="10" s="1"/>
  <c r="AO42" i="10"/>
  <c r="AT42" i="10" s="1"/>
  <c r="AO10" i="10"/>
  <c r="AT10" i="10" s="1"/>
  <c r="AO41" i="10"/>
  <c r="AT41" i="10" s="1"/>
  <c r="AO18" i="10"/>
  <c r="AO4" i="10"/>
  <c r="AT4" i="10" s="1"/>
  <c r="AQ37" i="10"/>
  <c r="AR37" i="10" s="1"/>
  <c r="AQ21" i="10"/>
  <c r="AR21" i="10" s="1"/>
  <c r="AO34" i="10"/>
  <c r="AT34" i="10" s="1"/>
  <c r="AO40" i="10"/>
  <c r="AT40" i="10" s="1"/>
  <c r="AO11" i="10"/>
  <c r="AT11" i="10" s="1"/>
  <c r="AO6" i="10"/>
  <c r="AQ42" i="10"/>
  <c r="AR42" i="10" s="1"/>
  <c r="AO24" i="10"/>
  <c r="AT24" i="10" s="1"/>
  <c r="AO32" i="10"/>
  <c r="AT32" i="10" s="1"/>
  <c r="AQ28" i="10"/>
  <c r="AR28" i="10" s="1"/>
  <c r="AT23" i="10"/>
  <c r="AO39" i="10"/>
  <c r="AT39" i="10" s="1"/>
  <c r="AO7" i="10"/>
  <c r="AT7" i="10" s="1"/>
  <c r="AO15" i="10"/>
  <c r="AT15" i="10" s="1"/>
  <c r="AO35" i="10"/>
  <c r="AT35" i="10" s="1"/>
  <c r="AO33" i="10"/>
  <c r="AT33" i="10" s="1"/>
  <c r="AO9" i="10"/>
  <c r="AT9" i="10" s="1"/>
  <c r="AO17" i="10"/>
  <c r="AT17" i="10" s="1"/>
  <c r="AO38" i="10"/>
  <c r="AT38" i="10" s="1"/>
  <c r="AO43" i="10"/>
  <c r="AT43" i="10" s="1"/>
  <c r="AO13" i="10"/>
  <c r="AT13" i="10" s="1"/>
  <c r="AO19" i="10"/>
  <c r="AT19" i="10" s="1"/>
  <c r="AT36" i="10"/>
  <c r="AO27" i="10"/>
  <c r="AT27" i="10" s="1"/>
  <c r="AO26" i="10"/>
  <c r="AT26" i="10" s="1"/>
  <c r="AO29" i="10"/>
  <c r="AT29" i="10" s="1"/>
  <c r="AO14" i="10"/>
  <c r="AT14" i="10" s="1"/>
  <c r="AO25" i="10"/>
  <c r="AT25" i="10" s="1"/>
  <c r="AO21" i="10"/>
  <c r="AT21" i="10" s="1"/>
  <c r="AQ16" i="10"/>
  <c r="AR16" i="10" s="1"/>
  <c r="AQ6" i="10"/>
  <c r="AR6" i="10" s="1"/>
  <c r="AQ17" i="10"/>
  <c r="AR17" i="10" s="1"/>
  <c r="AQ18" i="10"/>
  <c r="AR18" i="10" s="1"/>
  <c r="AT5" i="10"/>
  <c r="AQ40" i="10"/>
  <c r="AR40" i="10" s="1"/>
  <c r="AQ41" i="10"/>
  <c r="AR41" i="10" s="1"/>
  <c r="AT18" i="10"/>
  <c r="AQ11" i="10"/>
  <c r="AR11" i="10" s="1"/>
  <c r="Q44" i="10"/>
  <c r="AQ15" i="10"/>
  <c r="AR15" i="10" s="1"/>
  <c r="AH44" i="10"/>
  <c r="AQ13" i="10"/>
  <c r="AR13" i="10" s="1"/>
  <c r="K44" i="10"/>
  <c r="AQ10" i="10"/>
  <c r="AR10" i="10" s="1"/>
  <c r="AX41" i="10" l="1"/>
  <c r="AY41" i="10"/>
  <c r="AV41" i="10"/>
  <c r="AW41" i="10"/>
  <c r="AY37" i="10"/>
  <c r="AV37" i="10"/>
  <c r="AW37" i="10"/>
  <c r="AX37" i="10"/>
  <c r="AY11" i="10"/>
  <c r="AV11" i="10"/>
  <c r="AW11" i="10"/>
  <c r="AX11" i="10"/>
  <c r="AY19" i="10"/>
  <c r="AV19" i="10"/>
  <c r="AW19" i="10"/>
  <c r="AX19" i="10"/>
  <c r="AY15" i="10"/>
  <c r="AV15" i="10"/>
  <c r="AW15" i="10"/>
  <c r="AX15" i="10"/>
  <c r="AY26" i="10"/>
  <c r="AV26" i="10"/>
  <c r="AX26" i="10"/>
  <c r="AW26" i="10"/>
  <c r="AX9" i="10"/>
  <c r="AY9" i="10"/>
  <c r="AV9" i="10"/>
  <c r="AW9" i="10"/>
  <c r="AY32" i="10"/>
  <c r="AV32" i="10"/>
  <c r="AX32" i="10"/>
  <c r="AW32" i="10"/>
  <c r="AY30" i="10"/>
  <c r="AV30" i="10"/>
  <c r="AX30" i="10"/>
  <c r="AW30" i="10"/>
  <c r="AY25" i="10"/>
  <c r="AV25" i="10"/>
  <c r="AW25" i="10"/>
  <c r="AX25" i="10"/>
  <c r="AX43" i="10"/>
  <c r="AY43" i="10"/>
  <c r="AV43" i="10"/>
  <c r="AW43" i="10"/>
  <c r="AY33" i="10"/>
  <c r="AV33" i="10"/>
  <c r="AW33" i="10"/>
  <c r="AX33" i="10"/>
  <c r="AX39" i="10"/>
  <c r="AY39" i="10"/>
  <c r="AV39" i="10"/>
  <c r="AW39" i="10"/>
  <c r="AY24" i="10"/>
  <c r="AV24" i="10"/>
  <c r="AX24" i="10"/>
  <c r="AW24" i="10"/>
  <c r="AX40" i="10"/>
  <c r="AY40" i="10"/>
  <c r="AV40" i="10"/>
  <c r="AW40" i="10"/>
  <c r="AW4" i="10"/>
  <c r="AV4" i="10"/>
  <c r="AY4" i="10"/>
  <c r="AX4" i="10"/>
  <c r="AX42" i="10"/>
  <c r="AY42" i="10"/>
  <c r="AV42" i="10"/>
  <c r="AW42" i="10"/>
  <c r="AY12" i="10"/>
  <c r="AV12" i="10"/>
  <c r="AX12" i="10"/>
  <c r="AW12" i="10"/>
  <c r="AY29" i="10"/>
  <c r="AV29" i="10"/>
  <c r="AW29" i="10"/>
  <c r="AX29" i="10"/>
  <c r="AY17" i="10"/>
  <c r="AV17" i="10"/>
  <c r="AW17" i="10"/>
  <c r="AX17" i="10"/>
  <c r="AY31" i="10"/>
  <c r="AV31" i="10"/>
  <c r="AW31" i="10"/>
  <c r="AX31" i="10"/>
  <c r="AY21" i="10"/>
  <c r="AV21" i="10"/>
  <c r="AW21" i="10"/>
  <c r="AX21" i="10"/>
  <c r="AY13" i="10"/>
  <c r="AV13" i="10"/>
  <c r="AW13" i="10"/>
  <c r="AX13" i="10"/>
  <c r="AX7" i="10"/>
  <c r="AY7" i="10"/>
  <c r="AV7" i="10"/>
  <c r="AW7" i="10"/>
  <c r="AY10" i="10"/>
  <c r="AV10" i="10"/>
  <c r="AX10" i="10"/>
  <c r="AW10" i="10"/>
  <c r="AY18" i="10"/>
  <c r="AV18" i="10"/>
  <c r="AX18" i="10"/>
  <c r="AW18" i="10"/>
  <c r="AY27" i="10"/>
  <c r="AV27" i="10"/>
  <c r="AW27" i="10"/>
  <c r="AX27" i="10"/>
  <c r="AY14" i="10"/>
  <c r="AV14" i="10"/>
  <c r="AX14" i="10"/>
  <c r="AW14" i="10"/>
  <c r="AY36" i="10"/>
  <c r="AV36" i="10"/>
  <c r="AX36" i="10"/>
  <c r="AW36" i="10"/>
  <c r="AX38" i="10"/>
  <c r="AY38" i="10"/>
  <c r="AV38" i="10"/>
  <c r="AW38" i="10"/>
  <c r="AY35" i="10"/>
  <c r="AV35" i="10"/>
  <c r="AW35" i="10"/>
  <c r="AX35" i="10"/>
  <c r="AY23" i="10"/>
  <c r="AV23" i="10"/>
  <c r="AW23" i="10"/>
  <c r="AX23" i="10"/>
  <c r="AY34" i="10"/>
  <c r="AV34" i="10"/>
  <c r="AX34" i="10"/>
  <c r="AW34" i="10"/>
  <c r="AY28" i="10"/>
  <c r="AV28" i="10"/>
  <c r="AX28" i="10"/>
  <c r="AW28" i="10"/>
  <c r="AY16" i="10"/>
  <c r="AV16" i="10"/>
  <c r="AX16" i="10"/>
  <c r="AW16" i="10"/>
  <c r="AV5" i="10"/>
  <c r="AX5" i="10"/>
  <c r="AY5" i="10"/>
  <c r="AW5" i="10"/>
  <c r="AU38" i="10"/>
  <c r="AU27" i="10"/>
  <c r="AU43" i="10"/>
  <c r="AU33" i="10"/>
  <c r="AU39" i="10"/>
  <c r="AU24" i="10"/>
  <c r="AU40" i="10"/>
  <c r="AU4" i="10"/>
  <c r="AU18" i="10"/>
  <c r="AU14" i="10"/>
  <c r="AU36" i="10"/>
  <c r="AU35" i="10"/>
  <c r="AU28" i="10"/>
  <c r="AU41" i="10"/>
  <c r="AU17" i="10"/>
  <c r="AU15" i="10"/>
  <c r="AU26" i="10"/>
  <c r="AU13" i="10"/>
  <c r="AU30" i="10"/>
  <c r="AU32" i="10"/>
  <c r="AU10" i="10"/>
  <c r="AU42" i="10"/>
  <c r="AU16" i="10"/>
  <c r="AU11" i="10"/>
  <c r="AU37" i="10"/>
  <c r="AU7" i="10"/>
  <c r="AU12" i="10"/>
  <c r="AU5" i="10"/>
  <c r="AU29" i="10"/>
  <c r="AU21" i="10"/>
  <c r="AU19" i="10"/>
  <c r="AU23" i="10"/>
  <c r="AU34" i="10"/>
  <c r="AU25" i="10"/>
  <c r="AU9" i="10"/>
  <c r="AU31" i="10"/>
  <c r="AO44" i="10"/>
  <c r="AT6" i="10"/>
  <c r="AQ44" i="10"/>
  <c r="AR44" i="10" s="1"/>
  <c r="AY6" i="10" l="1"/>
  <c r="AV6" i="10"/>
  <c r="AX6" i="10"/>
  <c r="AW6" i="10"/>
  <c r="AT44" i="10"/>
  <c r="AU6" i="10"/>
  <c r="AU44" i="10" l="1"/>
</calcChain>
</file>

<file path=xl/comments1.xml><?xml version="1.0" encoding="utf-8"?>
<comments xmlns="http://schemas.openxmlformats.org/spreadsheetml/2006/main">
  <authors>
    <author>User</author>
  </authors>
  <commentList>
    <comment ref="C47" authorId="0">
      <text>
        <r>
          <rPr>
            <sz val="9"/>
            <color indexed="81"/>
            <rFont val="Tahoma"/>
            <family val="2"/>
            <charset val="238"/>
          </rPr>
          <t>kamat+tőke: ha nem havi, akkor az arányos rész - pl. ha negyedéves a törlesztés, akkor annak 1/3-a!</t>
        </r>
      </text>
    </comment>
  </commentList>
</comments>
</file>

<file path=xl/comments2.xml><?xml version="1.0" encoding="utf-8"?>
<comments xmlns="http://schemas.openxmlformats.org/spreadsheetml/2006/main">
  <authors>
    <author>User</author>
  </authors>
  <commentList>
    <comment ref="D21" authorId="0">
      <text>
        <r>
          <rPr>
            <sz val="9"/>
            <color indexed="81"/>
            <rFont val="Tahoma"/>
            <family val="2"/>
            <charset val="238"/>
          </rPr>
          <t xml:space="preserve">Havonta beszerzett / felhasznált / kifizetett mennyiség.
Amennyiben nem értelmezhető a volumen alapú/egységáras beszerzés, akkor a volumenhez 1-et írj, az egységárhoz pedig a teljes havi költséget.
</t>
        </r>
      </text>
    </comment>
    <comment ref="H21" authorId="0">
      <text>
        <r>
          <rPr>
            <sz val="9"/>
            <color indexed="81"/>
            <rFont val="Tahoma"/>
            <family val="2"/>
            <charset val="238"/>
          </rPr>
          <t>Havonta beszerzett / felhasznált / kifizetett mennyiség változása - ha valamely költségsor tekintetében növekedni fog a felhasználás, akkor negatív előjelű számot kell megadni</t>
        </r>
      </text>
    </comment>
    <comment ref="B50" authorId="0">
      <text>
        <r>
          <rPr>
            <sz val="9"/>
            <color indexed="81"/>
            <rFont val="Tahoma"/>
            <family val="2"/>
            <charset val="238"/>
          </rPr>
          <t>bevétel/értékesítési volumentől is függő működési költségek</t>
        </r>
      </text>
    </comment>
  </commentList>
</comments>
</file>

<file path=xl/comments3.xml><?xml version="1.0" encoding="utf-8"?>
<comments xmlns="http://schemas.openxmlformats.org/spreadsheetml/2006/main">
  <authors>
    <author>User</author>
  </authors>
  <commentList>
    <comment ref="AV2" authorId="0">
      <text>
        <r>
          <rPr>
            <sz val="9"/>
            <color indexed="81"/>
            <rFont val="Tahoma"/>
            <family val="2"/>
            <charset val="238"/>
          </rPr>
          <t>évesített hatás a nettó bérre, annak függvényében, hogy hány hónapig áll fenn a csökkentett munkaidő</t>
        </r>
      </text>
    </comment>
    <comment ref="U3" authorId="0">
      <text>
        <r>
          <rPr>
            <sz val="9"/>
            <color indexed="81"/>
            <rFont val="Tahoma"/>
            <family val="2"/>
            <charset val="238"/>
          </rPr>
          <t>ha kevesebb mint felére csökken a munkaidő, akkor nem kell fejelsztési idő sem</t>
        </r>
      </text>
    </comment>
    <comment ref="X3" authorId="0">
      <text>
        <r>
          <rPr>
            <sz val="9"/>
            <color indexed="81"/>
            <rFont val="Tahoma"/>
            <family val="2"/>
            <charset val="238"/>
          </rPr>
          <t xml:space="preserve">az X oszlopban a munkaidő csökkenés alapján számolt bércsökkentés van - ha ehhez képest lefele/felfele szeretnéd még módosítani, akkor ide ír be korrekciót!
</t>
        </r>
        <r>
          <rPr>
            <b/>
            <sz val="9"/>
            <color indexed="81"/>
            <rFont val="Tahoma"/>
            <family val="2"/>
            <charset val="238"/>
          </rPr>
          <t>pl. ha óraszámok alapján 35% a csökkenés, de csak 20% bércsökkentés a cél, akkor -15% kell ide beírni</t>
        </r>
      </text>
    </comment>
    <comment ref="Y3" authorId="0">
      <text>
        <r>
          <rPr>
            <sz val="9"/>
            <color indexed="81"/>
            <rFont val="Tahoma"/>
            <family val="2"/>
            <charset val="238"/>
          </rPr>
          <t>az X oszlopban a munkaidő csökkenés alapján számolt bércsökkentés van - ha ehhez képest lefele/felfele szeretnéd még módosítani, akkor ide ír be korrekciót!</t>
        </r>
      </text>
    </comment>
  </commentList>
</comments>
</file>

<file path=xl/sharedStrings.xml><?xml version="1.0" encoding="utf-8"?>
<sst xmlns="http://schemas.openxmlformats.org/spreadsheetml/2006/main" count="286" uniqueCount="200">
  <si>
    <t>Szakképzési</t>
  </si>
  <si>
    <t>TAO</t>
  </si>
  <si>
    <t>SZJA</t>
  </si>
  <si>
    <t>Bruttó bér</t>
  </si>
  <si>
    <t>TOTAL</t>
  </si>
  <si>
    <t>Név</t>
  </si>
  <si>
    <t>EKHO bér</t>
  </si>
  <si>
    <t>Cafeteria</t>
  </si>
  <si>
    <t>Megbízási díj</t>
  </si>
  <si>
    <t>Bérjárulék</t>
  </si>
  <si>
    <t>EKHO</t>
  </si>
  <si>
    <t>cafeteria, járulék</t>
  </si>
  <si>
    <t>Havi cégktg</t>
  </si>
  <si>
    <t>Cég</t>
  </si>
  <si>
    <t>bruttó</t>
  </si>
  <si>
    <t>megbízási</t>
  </si>
  <si>
    <t>szocho/fogl</t>
  </si>
  <si>
    <t>ekho</t>
  </si>
  <si>
    <t>szja</t>
  </si>
  <si>
    <t>munkaváll</t>
  </si>
  <si>
    <t>ekho/szja</t>
  </si>
  <si>
    <t>Nettó</t>
  </si>
  <si>
    <t>munkavállói járulékok</t>
  </si>
  <si>
    <t>Nyugdíj járulék</t>
  </si>
  <si>
    <t>Egészségbiztosítás</t>
  </si>
  <si>
    <t>munkaerő piaci</t>
  </si>
  <si>
    <t>ÖSSZESEN:</t>
  </si>
  <si>
    <t>munkaadói járulékok</t>
  </si>
  <si>
    <t>társasági adók, szja, eho</t>
  </si>
  <si>
    <t>KIVA</t>
  </si>
  <si>
    <t>hipa</t>
  </si>
  <si>
    <t>szocho</t>
  </si>
  <si>
    <t>szja korr.</t>
  </si>
  <si>
    <t>adóalap korr.</t>
  </si>
  <si>
    <t>1 gyerek</t>
  </si>
  <si>
    <t>2 gyerek után</t>
  </si>
  <si>
    <t>minimálbér</t>
  </si>
  <si>
    <t>minimálbér x 24</t>
  </si>
  <si>
    <t>szocho korlát</t>
  </si>
  <si>
    <t>Total</t>
  </si>
  <si>
    <t>3 gyerek után</t>
  </si>
  <si>
    <t>4 gyerek után</t>
  </si>
  <si>
    <t>gyerek</t>
  </si>
  <si>
    <t>EB/NYB</t>
  </si>
  <si>
    <t>szja kedv.</t>
  </si>
  <si>
    <t>EKHO-s szja</t>
  </si>
  <si>
    <t>cafeteria</t>
  </si>
  <si>
    <t>járulékok</t>
  </si>
  <si>
    <t>nettó csökkenés</t>
  </si>
  <si>
    <t>új ktg.</t>
  </si>
  <si>
    <t>évesített csökkenés</t>
  </si>
  <si>
    <t>3 hónap</t>
  </si>
  <si>
    <t>6 hónap</t>
  </si>
  <si>
    <t>alap</t>
  </si>
  <si>
    <t>csökk.</t>
  </si>
  <si>
    <t>fejl.</t>
  </si>
  <si>
    <t>total</t>
  </si>
  <si>
    <t>megb. kieg</t>
  </si>
  <si>
    <t>tám.</t>
  </si>
  <si>
    <t>csökkentés, %</t>
  </si>
  <si>
    <t>…</t>
  </si>
  <si>
    <t>ZZZ</t>
  </si>
  <si>
    <t>AAA</t>
  </si>
  <si>
    <t>BBB</t>
  </si>
  <si>
    <t>YYY</t>
  </si>
  <si>
    <t>[HR_kalk] munkalap</t>
  </si>
  <si>
    <t>D:G</t>
  </si>
  <si>
    <t>oszlop / cella:</t>
  </si>
  <si>
    <t>használat</t>
  </si>
  <si>
    <t>ide írd be az eredeti bérelemeket vagy külső szakértőknek és alvállalkozóknak fizetett rendszeres/havi megbízási díjakat - bruttó fizetések, juttatások (megbízás esetén ÁFA nélkül!)</t>
  </si>
  <si>
    <t>L</t>
  </si>
  <si>
    <t>ha van az adott munkatárs esetében SZJA kedvezmény, akkor kedvezményezett gyerekek száma</t>
  </si>
  <si>
    <t>eredeti munkaidő</t>
  </si>
  <si>
    <t>EKHO- bér és megbízási díj %-os mértékű csökkenése (ha emelés van, akkor negatív előjellelel!)</t>
  </si>
  <si>
    <t>bruttó+</t>
  </si>
  <si>
    <t>óra Δ, %</t>
  </si>
  <si>
    <t>bruttó, %</t>
  </si>
  <si>
    <t>ekho, %</t>
  </si>
  <si>
    <t>megbiz., %</t>
  </si>
  <si>
    <t>X</t>
  </si>
  <si>
    <t>Y</t>
  </si>
  <si>
    <t>itt a munkaidő csökkentés alapján számolt bruttó bércsökkenés % értéke szerepel - nem kell beírni, számol magától az oszlop!</t>
  </si>
  <si>
    <t>AN</t>
  </si>
  <si>
    <t>ha a megbízási díjban, valamilyen korrekcióra van szükség ide írd be</t>
  </si>
  <si>
    <t>szürke fejléc:</t>
  </si>
  <si>
    <t>a fejlécben szereplő kategória számított értéke</t>
  </si>
  <si>
    <t>AR:AV oszlopok:</t>
  </si>
  <si>
    <t>a cégköltség és nettó bér/juttatás változása abszolút és %-os értékben</t>
  </si>
  <si>
    <t>AO</t>
  </si>
  <si>
    <t>min.bér:</t>
  </si>
  <si>
    <t>2x</t>
  </si>
  <si>
    <t>munkaidő csökkenés:</t>
  </si>
  <si>
    <t>támogatás:</t>
  </si>
  <si>
    <t>a csökkentett munkaidő + azon felül, külön a fejlesztési idő (ami alap esetben a csökkentett és eredeti munkaidő különbségének 30%-a, kivétel ha a munkaidő csökkenés több, mint 50%) -&gt; automatikusan számol, csak akkor kell felülírni, ha egyedi ok miatt nem kell fejlesztési idővel számolni</t>
  </si>
  <si>
    <t>támogatás max. kalk:</t>
  </si>
  <si>
    <t>Termék / üzletág 1</t>
  </si>
  <si>
    <t>Termék / üzletág 2</t>
  </si>
  <si>
    <t>Termék / üzletág 3</t>
  </si>
  <si>
    <t>Termék / üzletág 4</t>
  </si>
  <si>
    <t>Termék / üzletág 5</t>
  </si>
  <si>
    <t>Árbevétel és fedezet</t>
  </si>
  <si>
    <t>Iroda</t>
  </si>
  <si>
    <t>Marketing</t>
  </si>
  <si>
    <t>Raktár, telephely fenntartás</t>
  </si>
  <si>
    <t>Normál átlag havi</t>
  </si>
  <si>
    <t>ÖSSZESEN</t>
  </si>
  <si>
    <t>Közvetlen ktg. hányad%</t>
  </si>
  <si>
    <t>Bevétel csökkenés scenariók</t>
  </si>
  <si>
    <t>A</t>
  </si>
  <si>
    <t>B</t>
  </si>
  <si>
    <t>C</t>
  </si>
  <si>
    <t>bevétel csökkenés</t>
  </si>
  <si>
    <t>fedezet csökkenés</t>
  </si>
  <si>
    <t>IT, telefon</t>
  </si>
  <si>
    <t>Könyvelés, jogász, szakértők</t>
  </si>
  <si>
    <t>Egyéb költségek</t>
  </si>
  <si>
    <t>Fix havi HR költségek</t>
  </si>
  <si>
    <t>Bevételarányos mozgó bér</t>
  </si>
  <si>
    <t>HR összesen</t>
  </si>
  <si>
    <t>Bank, biztosítás</t>
  </si>
  <si>
    <t>Bevételarányos egyéb ktg.</t>
  </si>
  <si>
    <t>Működési ktg. összesen</t>
  </si>
  <si>
    <t>HAVI PROFIT</t>
  </si>
  <si>
    <t>Fedezet / profit</t>
  </si>
  <si>
    <t>minimális profit - optimális eset:</t>
  </si>
  <si>
    <t>maximális veszteség - "vészforgatókönyv":</t>
  </si>
  <si>
    <t>min. profit</t>
  </si>
  <si>
    <t>max. veszteség</t>
  </si>
  <si>
    <t>köztes 1</t>
  </si>
  <si>
    <t>köztes 2</t>
  </si>
  <si>
    <t>köztes 3</t>
  </si>
  <si>
    <t>bevétel csökkenés  =</t>
  </si>
  <si>
    <t>profit/veszteség célszámok:</t>
  </si>
  <si>
    <t>szükséges ktg. csökkentés összege és aránya</t>
  </si>
  <si>
    <t>az F53:57 cellákban levő profit / veszteség eléréshez szüksége költség csökkentés összege</t>
  </si>
  <si>
    <t>adók, hiteltörlesztés</t>
  </si>
  <si>
    <t>havi hitetörlesztés</t>
  </si>
  <si>
    <t>iparűzési adó</t>
  </si>
  <si>
    <t>adók, hitelek összesen</t>
  </si>
  <si>
    <t>egyéb adók</t>
  </si>
  <si>
    <t>Költségtípus / szállító</t>
  </si>
  <si>
    <t>Bevételek</t>
  </si>
  <si>
    <t>a koronavírus rendelet alapján kapható nettó bértámogatás számított összege (max. 112.418,- Ft)</t>
  </si>
  <si>
    <t>Egyéb bérleti díjak</t>
  </si>
  <si>
    <t>Gépjárművek bérlet/üzemeltetés</t>
  </si>
  <si>
    <t>Karbantartások</t>
  </si>
  <si>
    <t>Egységár</t>
  </si>
  <si>
    <t>megtakarítás</t>
  </si>
  <si>
    <t>Iroda bérlet</t>
  </si>
  <si>
    <t>Raktár bérlet</t>
  </si>
  <si>
    <t>becsült havi ktg.:</t>
  </si>
  <si>
    <t>Átlagos volumen/hó</t>
  </si>
  <si>
    <t>új egységár</t>
  </si>
  <si>
    <t>új volumen</t>
  </si>
  <si>
    <r>
      <t xml:space="preserve">becsült havi ktg. </t>
    </r>
    <r>
      <rPr>
        <b/>
        <i/>
        <sz val="9"/>
        <color theme="3" tint="-0.499984740745262"/>
        <rFont val="Calibri"/>
        <family val="2"/>
        <charset val="238"/>
      </rPr>
      <t>(csökkentett)</t>
    </r>
  </si>
  <si>
    <t>Egységár / díj csökkentés</t>
  </si>
  <si>
    <t>Volumen csökkenés</t>
  </si>
  <si>
    <t>Költség kategóriák:</t>
  </si>
  <si>
    <t>"must have"</t>
  </si>
  <si>
    <t>ktg. csökk. cél (%)</t>
  </si>
  <si>
    <t>fix/kötött</t>
  </si>
  <si>
    <t>jóléti v. "nice-to-have"</t>
  </si>
  <si>
    <t>azok a költségek, amelyek cég működése szempontjából elengedhetetlenek, de csökkenthetők valamelyest</t>
  </si>
  <si>
    <t>olyan kiadások, amelyek akár közép távon jelentősen csökkenthetők</t>
  </si>
  <si>
    <t>olyan erőforrások, szolgáltatások, amelyek alapvetően szükségesek ugyan, de átmenetileg akár nagyobb mértékben is csökkenthető az igénybe vételük</t>
  </si>
  <si>
    <t>Oktatás</t>
  </si>
  <si>
    <t>Csapatépítés</t>
  </si>
  <si>
    <t>Céges ügyfélajándék</t>
  </si>
  <si>
    <t>Irodai anyagok kellékek</t>
  </si>
  <si>
    <t>azok a költségek, amelyeket szerződéses / egyéb kötelezettség miatt nem lehet csökkenteni vagy a cég túlélése érdekben szükséges szinten tartani</t>
  </si>
  <si>
    <t>stratégiai</t>
  </si>
  <si>
    <t>elért ktg. csökkentés</t>
  </si>
  <si>
    <t>csökkenés, %</t>
  </si>
  <si>
    <t>megcélzott ktg. csökk.</t>
  </si>
  <si>
    <t>Ktg. kategória</t>
  </si>
  <si>
    <t>bevételi arány,új %</t>
  </si>
  <si>
    <t>bevételi arány, régi %</t>
  </si>
  <si>
    <t>Bevétel arányos működési ktg.</t>
  </si>
  <si>
    <r>
      <t xml:space="preserve">FIGYELEM! Az alábbi táblában azon költségeket kell szerepeltetni, amelyek nem közvetlen értékesítési típusúak (tehát nem tartoznak a [ktgcsökk_célszám] munkalapon a közvetlen ktg. költségek körébe) 
</t>
    </r>
    <r>
      <rPr>
        <b/>
        <sz val="10"/>
        <color theme="3" tint="-0.499984740745262"/>
        <rFont val="Calibri"/>
        <family val="2"/>
        <charset val="238"/>
      </rPr>
      <t>(1)</t>
    </r>
    <r>
      <rPr>
        <sz val="10"/>
        <color theme="3" tint="-0.499984740745262"/>
        <rFont val="Calibri"/>
        <family val="2"/>
        <charset val="238"/>
      </rPr>
      <t xml:space="preserve"> add meg szállítók vagy főbb költség sorok szerint az aktuális havi költségeket (pl. irodabérlet, marketing stb.), ahol lehetséges a havi felhasznált volumenre és egységárakra lebontva (C22:D47 cellák):
# ha pl. irodabérletről van szó, akkor a m2 és Ft/m2 ár bontásban, ha telefonról akkor SIM kárty darabszám és átlagos havi költség/telefon
# amennyiben nem értelmezhető a volumen alapú/egységáras beszerzés, akkor a volumenhez 1-et írj, az egységárhoz pedig a teljes havi költséget</t>
    </r>
    <r>
      <rPr>
        <sz val="10"/>
        <color theme="3" tint="-0.499984740745262"/>
        <rFont val="Calibri"/>
        <family val="2"/>
        <charset val="238"/>
        <scheme val="minor"/>
      </rPr>
      <t xml:space="preserve">
</t>
    </r>
    <r>
      <rPr>
        <b/>
        <sz val="10"/>
        <color theme="3" tint="-0.499984740745262"/>
        <rFont val="Calibri"/>
        <family val="2"/>
        <charset val="238"/>
        <scheme val="minor"/>
      </rPr>
      <t>(2)</t>
    </r>
    <r>
      <rPr>
        <sz val="10"/>
        <color theme="3" tint="-0.499984740745262"/>
        <rFont val="Calibri"/>
        <family val="2"/>
        <charset val="238"/>
        <scheme val="minor"/>
      </rPr>
      <t xml:space="preserve"> add meg a tervezett/realizálható csökkenést a felhasználás és egységár vonatkozásában (G22:H47 cellák)
</t>
    </r>
    <r>
      <rPr>
        <b/>
        <sz val="10"/>
        <color theme="3" tint="-0.499984740745262"/>
        <rFont val="Calibri"/>
        <family val="2"/>
        <charset val="238"/>
        <scheme val="minor"/>
      </rPr>
      <t>(3)</t>
    </r>
    <r>
      <rPr>
        <sz val="10"/>
        <color theme="3" tint="-0.499984740745262"/>
        <rFont val="Calibri"/>
        <family val="2"/>
        <charset val="238"/>
        <scheme val="minor"/>
      </rPr>
      <t xml:space="preserve"> a B15:C18 cellákban definiáltunk néhány kategóriát abból a szempontból, hogy a költségek milyen mértékben változtathatóak - itt azt kell megadni %-os értékkel, hogy adott kategóriába eső költségek esetén mekkora csökkenés elérést lenne célszerű elérni
</t>
    </r>
    <r>
      <rPr>
        <b/>
        <sz val="10"/>
        <color theme="3" tint="-0.499984740745262"/>
        <rFont val="Calibri"/>
        <family val="2"/>
        <charset val="238"/>
        <scheme val="minor"/>
      </rPr>
      <t>(4)</t>
    </r>
    <r>
      <rPr>
        <sz val="10"/>
        <color theme="3" tint="-0.499984740745262"/>
        <rFont val="Calibri"/>
        <family val="2"/>
        <charset val="238"/>
        <scheme val="minor"/>
      </rPr>
      <t xml:space="preserve"> az N oszlopban az egyes költségsorok esetében válaszd ki, hogy melyik kategóriába tartoznak --&gt; így az O oszlopban láthatod, hogy mekkora a megcélzott költségcsökkenés és ehhez képest mekkora megtakarítás érhető el az egységárak és volumen változtatásával
</t>
    </r>
    <r>
      <rPr>
        <b/>
        <sz val="10"/>
        <color theme="3" tint="-0.499984740745262"/>
        <rFont val="Calibri"/>
        <family val="2"/>
        <charset val="238"/>
        <scheme val="minor"/>
      </rPr>
      <t>(5)</t>
    </r>
    <r>
      <rPr>
        <sz val="10"/>
        <color theme="3" tint="-0.499984740745262"/>
        <rFont val="Calibri"/>
        <family val="2"/>
        <charset val="238"/>
        <scheme val="minor"/>
      </rPr>
      <t xml:space="preserve"> az 50. sor alatt azok a működési költségek szerepelnek, amelyek valamilyen formában a forgalom nagyságától is függenek (de nem közvetlen értékesítési költségnek tekinthetők) - pl. postaköltség, amit a kiállított és kiküldött számlák száma befolyásol</t>
    </r>
  </si>
  <si>
    <t>Havi fix v. általános működési költség</t>
  </si>
  <si>
    <t>Havi HR kiadások</t>
  </si>
  <si>
    <t>NNN</t>
  </si>
  <si>
    <t>OOO</t>
  </si>
  <si>
    <t>PPP</t>
  </si>
  <si>
    <t>cégköltség csökkenés</t>
  </si>
  <si>
    <t>4 hónap</t>
  </si>
  <si>
    <t>5 hónap</t>
  </si>
  <si>
    <t>1. lépés</t>
  </si>
  <si>
    <t>2. lépés</t>
  </si>
  <si>
    <t>3. lépés</t>
  </si>
  <si>
    <r>
      <t xml:space="preserve">a megcélzott költésgcsökkentést bontsd le konkrét lépésekre - költségcsökkentés számítása egyes tételek szintjén: </t>
    </r>
    <r>
      <rPr>
        <b/>
        <sz val="11"/>
        <color rgb="FFC00000"/>
        <rFont val="Calibri"/>
        <family val="2"/>
        <charset val="238"/>
      </rPr>
      <t>[02_működési_ktg_terv]</t>
    </r>
    <r>
      <rPr>
        <sz val="11"/>
        <color theme="3" tint="-0.499984740745262"/>
        <rFont val="Calibri"/>
        <family val="2"/>
        <charset val="238"/>
        <scheme val="minor"/>
      </rPr>
      <t xml:space="preserve"> munkalap</t>
    </r>
  </si>
  <si>
    <r>
      <t xml:space="preserve">határozd meg, hogy a bevételek csökkenése esetén mekkora költségcsökkentésre lenne szükség - </t>
    </r>
    <r>
      <rPr>
        <b/>
        <sz val="11"/>
        <color rgb="FFC00000"/>
        <rFont val="Calibri"/>
        <family val="2"/>
        <charset val="238"/>
        <scheme val="minor"/>
      </rPr>
      <t>[01_ktgcsökk_célszám]</t>
    </r>
    <r>
      <rPr>
        <sz val="11"/>
        <color theme="3" tint="-0.499984740745262"/>
        <rFont val="Calibri"/>
        <family val="2"/>
        <charset val="238"/>
        <scheme val="minor"/>
      </rPr>
      <t xml:space="preserve"> munkalap</t>
    </r>
  </si>
  <si>
    <r>
      <t xml:space="preserve">amennyiben szükséges a bérköltséget is csökkenteni, akkor számold ki, hogy a munkaidő/bér módosítása a támogatás igényebvételével együtt, hogyan hat a tényleges cégköltségre: </t>
    </r>
    <r>
      <rPr>
        <b/>
        <sz val="11"/>
        <color rgb="FFC00000"/>
        <rFont val="Calibri"/>
        <family val="2"/>
        <charset val="238"/>
      </rPr>
      <t>[03_HR&amp;megbíz_kalk]</t>
    </r>
    <r>
      <rPr>
        <sz val="11"/>
        <color theme="3" tint="-0.499984740745262"/>
        <rFont val="Calibri"/>
        <family val="2"/>
        <charset val="238"/>
        <scheme val="minor"/>
      </rPr>
      <t xml:space="preserve"> munkalap</t>
    </r>
  </si>
  <si>
    <t>S</t>
  </si>
  <si>
    <t>T:U</t>
  </si>
  <si>
    <t>W</t>
  </si>
  <si>
    <r>
      <t xml:space="preserve">az W oszlopban a munkaidő csökkenés alapján számolt bércsökkentés van - ha ehhez képest lefele/felfele szeretnéd még módosítani, akkor ide ír be korrekciót (tehát béremelés esetén </t>
    </r>
    <r>
      <rPr>
        <b/>
        <sz val="12"/>
        <color theme="3" tint="-0.499984740745262"/>
        <rFont val="Calibri"/>
        <family val="2"/>
        <charset val="238"/>
      </rPr>
      <t>-...%</t>
    </r>
    <r>
      <rPr>
        <sz val="11"/>
        <color theme="3" tint="-0.499984740745262"/>
        <rFont val="Calibri"/>
        <family val="2"/>
        <charset val="238"/>
        <scheme val="minor"/>
      </rPr>
      <t>)!</t>
    </r>
  </si>
  <si>
    <t>az W+X összege</t>
  </si>
  <si>
    <t>Z:AA</t>
  </si>
  <si>
    <r>
      <rPr>
        <b/>
        <sz val="10"/>
        <color theme="3" tint="-0.499984740745262"/>
        <rFont val="Calibri"/>
        <family val="2"/>
        <charset val="238"/>
      </rPr>
      <t>(1)</t>
    </r>
    <r>
      <rPr>
        <sz val="10"/>
        <color theme="3" tint="-0.499984740745262"/>
        <rFont val="Calibri"/>
        <family val="2"/>
        <charset val="238"/>
        <scheme val="minor"/>
      </rPr>
      <t xml:space="preserve"> határozd meg, hogy a bevételek csökkenése előtte mekkora volt az átlagos havi bevétel és abból realizált árrés / haszon a főbb értékesítés és termék típusok esetén: D15:E19 cellák  --&gt;  FEDEZET (v. árrés) = árbevétel - értékesítés közvetlen költségei (pl. eladott áruk, termékelőállításhoz felhasznált anyagok, egyéb közvetlen értékesítési költségek, jutalékok stb.)
</t>
    </r>
    <r>
      <rPr>
        <b/>
        <sz val="10"/>
        <color theme="3" tint="-0.499984740745262"/>
        <rFont val="Calibri"/>
        <family val="2"/>
        <charset val="238"/>
        <scheme val="minor"/>
      </rPr>
      <t>(2)</t>
    </r>
    <r>
      <rPr>
        <sz val="10"/>
        <color theme="3" tint="-0.499984740745262"/>
        <rFont val="Calibri"/>
        <family val="2"/>
        <charset val="238"/>
        <scheme val="minor"/>
      </rPr>
      <t xml:space="preserve"> add meg az átlagos havi HR és működési költségeket - D25:E50 sor (amennyiben van olyan költség, ami nem rendszeres/havi jellegű, akkor alap esetben érdemes az éves érték 1/12-vel számolni)
</t>
    </r>
    <r>
      <rPr>
        <b/>
        <sz val="10"/>
        <color theme="3" tint="-0.499984740745262"/>
        <rFont val="Calibri"/>
        <family val="2"/>
        <charset val="238"/>
        <scheme val="minor"/>
      </rPr>
      <t>(3)</t>
    </r>
    <r>
      <rPr>
        <sz val="10"/>
        <color theme="3" tint="-0.499984740745262"/>
        <rFont val="Calibri"/>
        <family val="2"/>
        <charset val="238"/>
        <scheme val="minor"/>
      </rPr>
      <t xml:space="preserve"> becsüld meg 2-3 forgatókönyv szerint, hogy mekkora bevétel csökkenés várható: H15-J19 cellák - A/B/C forgatókönyvek
</t>
    </r>
    <r>
      <rPr>
        <b/>
        <sz val="10"/>
        <color theme="3" tint="-0.499984740745262"/>
        <rFont val="Calibri"/>
        <family val="2"/>
        <charset val="238"/>
        <scheme val="minor"/>
      </rPr>
      <t>(4)</t>
    </r>
    <r>
      <rPr>
        <sz val="10"/>
        <color theme="3" tint="-0.499984740745262"/>
        <rFont val="Calibri"/>
        <family val="2"/>
        <charset val="238"/>
        <scheme val="minor"/>
      </rPr>
      <t xml:space="preserve"> határozd meg hogy mekkora a minimális profit célkitűzés amit el szeretnél érni még bevétel csökkenés esetén is, vagy legalábbis mekkora az a maximális veszteség, amit még finanszírozni lehet
</t>
    </r>
    <r>
      <rPr>
        <b/>
        <sz val="10"/>
        <color theme="3" tint="-0.499984740745262"/>
        <rFont val="Calibri"/>
        <family val="2"/>
        <charset val="238"/>
        <scheme val="minor"/>
      </rPr>
      <t xml:space="preserve">(5) </t>
    </r>
    <r>
      <rPr>
        <sz val="10"/>
        <color theme="3" tint="-0.499984740745262"/>
        <rFont val="Calibri"/>
        <family val="2"/>
        <charset val="238"/>
        <scheme val="minor"/>
      </rPr>
      <t>a fentiek alapján a táblázat végén láthatod, hogy adott bevétel csökkenés mellett mekkora költség csökkenést kellene elérni az A/B/C bevételi forgatókönyvek esetén, hogy finanszírozható maradjon a cég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</si>
</sst>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%"/>
    <numFmt numFmtId="165" formatCode="[$-409]d\-mmm\-yy;@"/>
    <numFmt numFmtId="166" formatCode="#,##0.0&quot; óra&quot;"/>
  </numFmts>
  <fonts count="39" x14ac:knownFonts="1">
    <font>
      <sz val="11"/>
      <color theme="1"/>
      <name val="Calibri"/>
      <family val="2"/>
      <charset val="238"/>
      <scheme val="minor"/>
    </font>
    <font>
      <sz val="9"/>
      <color theme="1"/>
      <name val="Segoe UI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8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8"/>
      <color theme="0"/>
      <name val="Calibri"/>
      <family val="2"/>
      <charset val="238"/>
      <scheme val="minor"/>
    </font>
    <font>
      <sz val="8"/>
      <color theme="0"/>
      <name val="Calibri"/>
      <family val="2"/>
      <charset val="238"/>
      <scheme val="minor"/>
    </font>
    <font>
      <sz val="8"/>
      <color rgb="FFFF0000"/>
      <name val="Calibri"/>
      <family val="2"/>
      <charset val="238"/>
      <scheme val="minor"/>
    </font>
    <font>
      <sz val="8"/>
      <color theme="1" tint="4.9989318521683403E-2"/>
      <name val="Calibri"/>
      <family val="2"/>
      <charset val="238"/>
      <scheme val="minor"/>
    </font>
    <font>
      <sz val="8"/>
      <color theme="2" tint="-0.749992370372631"/>
      <name val="Calibri"/>
      <family val="2"/>
      <charset val="238"/>
      <scheme val="minor"/>
    </font>
    <font>
      <sz val="9"/>
      <color indexed="81"/>
      <name val="Tahoma"/>
      <family val="2"/>
      <charset val="238"/>
    </font>
    <font>
      <b/>
      <sz val="11"/>
      <color rgb="FFC00000"/>
      <name val="Calibri"/>
      <family val="2"/>
      <charset val="238"/>
      <scheme val="minor"/>
    </font>
    <font>
      <b/>
      <sz val="9"/>
      <color indexed="81"/>
      <name val="Tahoma"/>
      <family val="2"/>
      <charset val="238"/>
    </font>
    <font>
      <sz val="11"/>
      <color rgb="FF00B050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i/>
      <sz val="11"/>
      <color theme="3" tint="-0.499984740745262"/>
      <name val="Calibri"/>
      <family val="2"/>
      <charset val="238"/>
      <scheme val="minor"/>
    </font>
    <font>
      <sz val="11"/>
      <color theme="3" tint="-0.499984740745262"/>
      <name val="Calibri"/>
      <family val="2"/>
      <charset val="238"/>
      <scheme val="minor"/>
    </font>
    <font>
      <b/>
      <sz val="11"/>
      <color theme="3" tint="-0.499984740745262"/>
      <name val="Calibri"/>
      <family val="2"/>
      <charset val="238"/>
      <scheme val="minor"/>
    </font>
    <font>
      <i/>
      <sz val="10"/>
      <color theme="1" tint="0.249977111117893"/>
      <name val="Calibri"/>
      <family val="2"/>
      <charset val="238"/>
      <scheme val="minor"/>
    </font>
    <font>
      <b/>
      <i/>
      <sz val="11"/>
      <color rgb="FFC00000"/>
      <name val="Calibri"/>
      <family val="2"/>
      <charset val="238"/>
      <scheme val="minor"/>
    </font>
    <font>
      <b/>
      <sz val="12"/>
      <color theme="3" tint="-0.499984740745262"/>
      <name val="Calibri"/>
      <family val="2"/>
      <charset val="238"/>
    </font>
    <font>
      <sz val="9"/>
      <color theme="3" tint="-0.499984740745262"/>
      <name val="Calibri"/>
      <family val="2"/>
      <charset val="238"/>
      <scheme val="minor"/>
    </font>
    <font>
      <i/>
      <sz val="10"/>
      <color theme="3" tint="-0.499984740745262"/>
      <name val="Calibri"/>
      <family val="2"/>
      <charset val="238"/>
      <scheme val="minor"/>
    </font>
    <font>
      <i/>
      <sz val="11"/>
      <color rgb="FFC00000"/>
      <name val="Calibri"/>
      <family val="2"/>
      <charset val="238"/>
      <scheme val="minor"/>
    </font>
    <font>
      <b/>
      <i/>
      <sz val="9"/>
      <color theme="3" tint="-0.499984740745262"/>
      <name val="Calibri"/>
      <family val="2"/>
      <charset val="238"/>
    </font>
    <font>
      <b/>
      <i/>
      <sz val="9"/>
      <color rgb="FFC00000"/>
      <name val="Calibri"/>
      <family val="2"/>
      <charset val="238"/>
      <scheme val="minor"/>
    </font>
    <font>
      <sz val="10"/>
      <color theme="3" tint="-0.499984740745262"/>
      <name val="Calibri"/>
      <family val="2"/>
      <charset val="238"/>
      <scheme val="minor"/>
    </font>
    <font>
      <b/>
      <i/>
      <sz val="10"/>
      <color theme="3" tint="-0.499984740745262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10"/>
      <color theme="0"/>
      <name val="Calibri"/>
      <family val="2"/>
      <charset val="238"/>
      <scheme val="minor"/>
    </font>
    <font>
      <sz val="10"/>
      <color theme="8" tint="-0.249977111117893"/>
      <name val="Calibri"/>
      <family val="2"/>
      <charset val="238"/>
      <scheme val="minor"/>
    </font>
    <font>
      <sz val="8"/>
      <color theme="3" tint="-0.499984740745262"/>
      <name val="Calibri"/>
      <family val="2"/>
      <charset val="238"/>
      <scheme val="minor"/>
    </font>
    <font>
      <b/>
      <sz val="8"/>
      <color theme="3" tint="-0.499984740745262"/>
      <name val="Calibri"/>
      <family val="2"/>
      <charset val="238"/>
      <scheme val="minor"/>
    </font>
    <font>
      <sz val="8"/>
      <color rgb="FF00B050"/>
      <name val="Calibri"/>
      <family val="2"/>
      <charset val="238"/>
      <scheme val="minor"/>
    </font>
    <font>
      <b/>
      <sz val="10"/>
      <color theme="3" tint="-0.499984740745262"/>
      <name val="Calibri"/>
      <family val="2"/>
      <charset val="238"/>
    </font>
    <font>
      <sz val="10"/>
      <color theme="3" tint="-0.499984740745262"/>
      <name val="Calibri"/>
      <family val="2"/>
      <charset val="238"/>
    </font>
    <font>
      <b/>
      <sz val="10"/>
      <color theme="3" tint="-0.499984740745262"/>
      <name val="Calibri"/>
      <family val="2"/>
      <charset val="238"/>
      <scheme val="minor"/>
    </font>
    <font>
      <b/>
      <sz val="11"/>
      <color rgb="FFC00000"/>
      <name val="Calibri"/>
      <family val="2"/>
      <charset val="238"/>
    </font>
  </fonts>
  <fills count="1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D9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3" tint="-0.499984740745262"/>
        <bgColor indexed="64"/>
      </patternFill>
    </fill>
    <fill>
      <patternFill patternType="solid">
        <fgColor theme="0" tint="-4.9989318521683403E-2"/>
        <bgColor indexed="64"/>
      </patternFill>
    </fill>
  </fills>
  <borders count="3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theme="3" tint="-0.499984740745262"/>
      </left>
      <right style="thin">
        <color theme="3" tint="-0.499984740745262"/>
      </right>
      <top style="thin">
        <color theme="3" tint="-0.499984740745262"/>
      </top>
      <bottom style="thin">
        <color theme="3" tint="-0.499984740745262"/>
      </bottom>
      <diagonal/>
    </border>
    <border>
      <left style="thin">
        <color theme="3" tint="-0.499984740745262"/>
      </left>
      <right/>
      <top style="thin">
        <color theme="3" tint="-0.499984740745262"/>
      </top>
      <bottom style="thin">
        <color theme="3" tint="-0.499984740745262"/>
      </bottom>
      <diagonal/>
    </border>
    <border>
      <left/>
      <right/>
      <top style="thin">
        <color theme="3" tint="-0.499984740745262"/>
      </top>
      <bottom style="thin">
        <color theme="3" tint="-0.499984740745262"/>
      </bottom>
      <diagonal/>
    </border>
    <border>
      <left/>
      <right style="thin">
        <color theme="3" tint="-0.499984740745262"/>
      </right>
      <top style="thin">
        <color theme="3" tint="-0.499984740745262"/>
      </top>
      <bottom style="thin">
        <color theme="3" tint="-0.499984740745262"/>
      </bottom>
      <diagonal/>
    </border>
    <border>
      <left style="thin">
        <color theme="3" tint="-0.499984740745262"/>
      </left>
      <right/>
      <top style="thin">
        <color theme="3" tint="-0.499984740745262"/>
      </top>
      <bottom/>
      <diagonal/>
    </border>
    <border>
      <left/>
      <right/>
      <top style="thin">
        <color theme="3" tint="-0.499984740745262"/>
      </top>
      <bottom/>
      <diagonal/>
    </border>
    <border>
      <left/>
      <right style="thin">
        <color theme="3" tint="-0.499984740745262"/>
      </right>
      <top style="thin">
        <color theme="3" tint="-0.499984740745262"/>
      </top>
      <bottom/>
      <diagonal/>
    </border>
    <border>
      <left style="thin">
        <color theme="3" tint="-0.499984740745262"/>
      </left>
      <right/>
      <top/>
      <bottom/>
      <diagonal/>
    </border>
    <border>
      <left/>
      <right style="thin">
        <color theme="3" tint="-0.499984740745262"/>
      </right>
      <top/>
      <bottom/>
      <diagonal/>
    </border>
    <border>
      <left style="thin">
        <color theme="3" tint="-0.499984740745262"/>
      </left>
      <right/>
      <top/>
      <bottom style="thin">
        <color theme="3" tint="-0.499984740745262"/>
      </bottom>
      <diagonal/>
    </border>
    <border>
      <left/>
      <right/>
      <top/>
      <bottom style="thin">
        <color theme="3" tint="-0.499984740745262"/>
      </bottom>
      <diagonal/>
    </border>
    <border>
      <left/>
      <right style="thin">
        <color theme="3" tint="-0.499984740745262"/>
      </right>
      <top/>
      <bottom style="thin">
        <color theme="3" tint="-0.499984740745262"/>
      </bottom>
      <diagonal/>
    </border>
    <border>
      <left style="thin">
        <color theme="3" tint="-0.499984740745262"/>
      </left>
      <right style="thin">
        <color theme="3" tint="-0.499984740745262"/>
      </right>
      <top/>
      <bottom/>
      <diagonal/>
    </border>
    <border>
      <left style="medium">
        <color theme="3" tint="-0.499984740745262"/>
      </left>
      <right style="medium">
        <color theme="3" tint="-0.499984740745262"/>
      </right>
      <top style="medium">
        <color theme="3" tint="-0.499984740745262"/>
      </top>
      <bottom style="medium">
        <color theme="3" tint="-0.499984740745262"/>
      </bottom>
      <diagonal/>
    </border>
    <border>
      <left/>
      <right/>
      <top style="medium">
        <color theme="3" tint="-0.499984740745262"/>
      </top>
      <bottom/>
      <diagonal/>
    </border>
    <border>
      <left/>
      <right style="medium">
        <color theme="3" tint="-0.499984740745262"/>
      </right>
      <top style="medium">
        <color theme="3" tint="-0.499984740745262"/>
      </top>
      <bottom/>
      <diagonal/>
    </border>
    <border>
      <left/>
      <right style="medium">
        <color theme="3" tint="-0.499984740745262"/>
      </right>
      <top style="medium">
        <color indexed="64"/>
      </top>
      <bottom/>
      <diagonal/>
    </border>
    <border>
      <left/>
      <right style="medium">
        <color theme="3" tint="-0.499984740745262"/>
      </right>
      <top/>
      <bottom/>
      <diagonal/>
    </border>
    <border>
      <left/>
      <right/>
      <top/>
      <bottom style="medium">
        <color theme="3" tint="-0.499984740745262"/>
      </bottom>
      <diagonal/>
    </border>
    <border>
      <left/>
      <right style="medium">
        <color theme="3" tint="-0.499984740745262"/>
      </right>
      <top/>
      <bottom style="medium">
        <color theme="3" tint="-0.499984740745262"/>
      </bottom>
      <diagonal/>
    </border>
    <border>
      <left style="medium">
        <color theme="3" tint="-0.499984740745262"/>
      </left>
      <right/>
      <top style="medium">
        <color theme="3" tint="-0.499984740745262"/>
      </top>
      <bottom style="medium">
        <color theme="3" tint="-0.499984740745262"/>
      </bottom>
      <diagonal/>
    </border>
    <border>
      <left/>
      <right/>
      <top style="medium">
        <color theme="3" tint="-0.499984740745262"/>
      </top>
      <bottom style="medium">
        <color theme="3" tint="-0.499984740745262"/>
      </bottom>
      <diagonal/>
    </border>
    <border>
      <left style="medium">
        <color theme="3" tint="-0.499984740745262"/>
      </left>
      <right/>
      <top/>
      <bottom/>
      <diagonal/>
    </border>
    <border>
      <left style="medium">
        <color theme="3" tint="-0.499984740745262"/>
      </left>
      <right/>
      <top/>
      <bottom style="medium">
        <color theme="3" tint="-0.499984740745262"/>
      </bottom>
      <diagonal/>
    </border>
    <border>
      <left style="thin">
        <color theme="3" tint="-0.499984740745262"/>
      </left>
      <right style="thin">
        <color theme="3" tint="-0.499984740745262"/>
      </right>
      <top/>
      <bottom style="medium">
        <color theme="3" tint="-0.499984740745262"/>
      </bottom>
      <diagonal/>
    </border>
    <border>
      <left style="medium">
        <color theme="3" tint="-0.499984740745262"/>
      </left>
      <right style="medium">
        <color theme="3" tint="-0.499984740745262"/>
      </right>
      <top/>
      <bottom/>
      <diagonal/>
    </border>
    <border>
      <left style="medium">
        <color theme="3" tint="-0.499984740745262"/>
      </left>
      <right style="medium">
        <color theme="3" tint="-0.499984740745262"/>
      </right>
      <top/>
      <bottom style="medium">
        <color theme="3" tint="-0.499984740745262"/>
      </bottom>
      <diagonal/>
    </border>
    <border>
      <left style="thin">
        <color theme="3" tint="-0.499984740745262"/>
      </left>
      <right style="thin">
        <color theme="3" tint="-0.499984740745262"/>
      </right>
      <top style="medium">
        <color theme="3" tint="-0.499984740745262"/>
      </top>
      <bottom style="medium">
        <color theme="3" tint="-0.499984740745262"/>
      </bottom>
      <diagonal/>
    </border>
    <border>
      <left style="medium">
        <color theme="3" tint="-0.499984740745262"/>
      </left>
      <right style="thin">
        <color theme="3" tint="-0.499984740745262"/>
      </right>
      <top style="medium">
        <color theme="3" tint="-0.499984740745262"/>
      </top>
      <bottom/>
      <diagonal/>
    </border>
    <border>
      <left style="medium">
        <color theme="3" tint="-0.499984740745262"/>
      </left>
      <right style="thin">
        <color theme="3" tint="-0.499984740745262"/>
      </right>
      <top style="medium">
        <color indexed="64"/>
      </top>
      <bottom/>
      <diagonal/>
    </border>
    <border>
      <left style="medium">
        <color theme="3" tint="-0.499984740745262"/>
      </left>
      <right style="thin">
        <color theme="3" tint="-0.499984740745262"/>
      </right>
      <top/>
      <bottom/>
      <diagonal/>
    </border>
    <border>
      <left style="medium">
        <color theme="3" tint="-0.499984740745262"/>
      </left>
      <right style="thin">
        <color theme="3" tint="-0.499984740745262"/>
      </right>
      <top/>
      <bottom style="medium">
        <color theme="3" tint="-0.499984740745262"/>
      </bottom>
      <diagonal/>
    </border>
    <border>
      <left/>
      <right style="medium">
        <color theme="3" tint="-0.499984740745262"/>
      </right>
      <top style="medium">
        <color theme="3" tint="-0.499984740745262"/>
      </top>
      <bottom style="medium">
        <color theme="3" tint="-0.499984740745262"/>
      </bottom>
      <diagonal/>
    </border>
  </borders>
  <cellStyleXfs count="8">
    <xf numFmtId="0" fontId="0" fillId="0" borderId="0"/>
    <xf numFmtId="9" fontId="2" fillId="0" borderId="0" applyFont="0" applyFill="0" applyBorder="0" applyAlignment="0" applyProtection="0"/>
    <xf numFmtId="0" fontId="1" fillId="0" borderId="0"/>
    <xf numFmtId="0" fontId="2" fillId="0" borderId="0"/>
    <xf numFmtId="0" fontId="3" fillId="0" borderId="0"/>
    <xf numFmtId="9" fontId="1" fillId="0" borderId="0" applyFont="0" applyFill="0" applyBorder="0" applyAlignment="0" applyProtection="0"/>
    <xf numFmtId="0" fontId="2" fillId="0" borderId="0"/>
    <xf numFmtId="165" fontId="2" fillId="0" borderId="0"/>
  </cellStyleXfs>
  <cellXfs count="206">
    <xf numFmtId="0" fontId="0" fillId="0" borderId="0" xfId="0"/>
    <xf numFmtId="0" fontId="5" fillId="0" borderId="0" xfId="0" applyFont="1"/>
    <xf numFmtId="0" fontId="5" fillId="0" borderId="0" xfId="2" applyFont="1"/>
    <xf numFmtId="3" fontId="7" fillId="6" borderId="0" xfId="0" applyNumberFormat="1" applyFont="1" applyFill="1"/>
    <xf numFmtId="3" fontId="5" fillId="0" borderId="0" xfId="0" applyNumberFormat="1" applyFont="1"/>
    <xf numFmtId="3" fontId="5" fillId="0" borderId="0" xfId="2" applyNumberFormat="1" applyFont="1"/>
    <xf numFmtId="164" fontId="5" fillId="0" borderId="0" xfId="1" applyNumberFormat="1" applyFont="1"/>
    <xf numFmtId="164" fontId="5" fillId="0" borderId="0" xfId="5" applyNumberFormat="1" applyFont="1"/>
    <xf numFmtId="3" fontId="9" fillId="7" borderId="0" xfId="3" applyNumberFormat="1" applyFont="1" applyFill="1" applyBorder="1" applyAlignment="1"/>
    <xf numFmtId="0" fontId="4" fillId="0" borderId="0" xfId="2" applyFont="1"/>
    <xf numFmtId="164" fontId="10" fillId="0" borderId="0" xfId="1" applyNumberFormat="1" applyFont="1"/>
    <xf numFmtId="0" fontId="12" fillId="0" borderId="0" xfId="0" applyFont="1" applyAlignment="1">
      <alignment vertical="top"/>
    </xf>
    <xf numFmtId="0" fontId="12" fillId="0" borderId="0" xfId="0" applyFont="1" applyAlignment="1">
      <alignment wrapText="1"/>
    </xf>
    <xf numFmtId="166" fontId="9" fillId="9" borderId="2" xfId="4" applyNumberFormat="1" applyFont="1" applyFill="1" applyBorder="1"/>
    <xf numFmtId="166" fontId="9" fillId="9" borderId="0" xfId="3" applyNumberFormat="1" applyFont="1" applyFill="1" applyBorder="1" applyAlignment="1"/>
    <xf numFmtId="3" fontId="14" fillId="10" borderId="0" xfId="0" applyNumberFormat="1" applyFont="1" applyFill="1"/>
    <xf numFmtId="9" fontId="14" fillId="10" borderId="0" xfId="0" applyNumberFormat="1" applyFont="1" applyFill="1"/>
    <xf numFmtId="0" fontId="15" fillId="14" borderId="4" xfId="0" applyFont="1" applyFill="1" applyBorder="1"/>
    <xf numFmtId="0" fontId="15" fillId="14" borderId="5" xfId="0" applyFont="1" applyFill="1" applyBorder="1"/>
    <xf numFmtId="3" fontId="15" fillId="14" borderId="5" xfId="0" applyNumberFormat="1" applyFont="1" applyFill="1" applyBorder="1"/>
    <xf numFmtId="3" fontId="15" fillId="14" borderId="6" xfId="0" applyNumberFormat="1" applyFont="1" applyFill="1" applyBorder="1"/>
    <xf numFmtId="0" fontId="16" fillId="0" borderId="1" xfId="0" applyFont="1" applyBorder="1"/>
    <xf numFmtId="0" fontId="17" fillId="0" borderId="0" xfId="0" applyFont="1"/>
    <xf numFmtId="0" fontId="15" fillId="13" borderId="7" xfId="0" applyFont="1" applyFill="1" applyBorder="1"/>
    <xf numFmtId="0" fontId="15" fillId="13" borderId="8" xfId="0" applyFont="1" applyFill="1" applyBorder="1"/>
    <xf numFmtId="0" fontId="15" fillId="13" borderId="12" xfId="0" applyFont="1" applyFill="1" applyBorder="1"/>
    <xf numFmtId="0" fontId="15" fillId="13" borderId="13" xfId="0" applyFont="1" applyFill="1" applyBorder="1"/>
    <xf numFmtId="0" fontId="0" fillId="16" borderId="13" xfId="0" applyFill="1" applyBorder="1"/>
    <xf numFmtId="0" fontId="0" fillId="16" borderId="9" xfId="0" applyFill="1" applyBorder="1"/>
    <xf numFmtId="0" fontId="0" fillId="16" borderId="11" xfId="0" applyFill="1" applyBorder="1"/>
    <xf numFmtId="0" fontId="0" fillId="16" borderId="14" xfId="0" applyFill="1" applyBorder="1"/>
    <xf numFmtId="3" fontId="15" fillId="13" borderId="7" xfId="1" applyNumberFormat="1" applyFont="1" applyFill="1" applyBorder="1"/>
    <xf numFmtId="3" fontId="15" fillId="13" borderId="8" xfId="1" applyNumberFormat="1" applyFont="1" applyFill="1" applyBorder="1"/>
    <xf numFmtId="3" fontId="15" fillId="13" borderId="9" xfId="1" applyNumberFormat="1" applyFont="1" applyFill="1" applyBorder="1"/>
    <xf numFmtId="3" fontId="15" fillId="13" borderId="10" xfId="1" applyNumberFormat="1" applyFont="1" applyFill="1" applyBorder="1"/>
    <xf numFmtId="3" fontId="15" fillId="13" borderId="0" xfId="1" applyNumberFormat="1" applyFont="1" applyFill="1" applyBorder="1"/>
    <xf numFmtId="3" fontId="15" fillId="13" borderId="11" xfId="1" applyNumberFormat="1" applyFont="1" applyFill="1" applyBorder="1"/>
    <xf numFmtId="3" fontId="15" fillId="13" borderId="12" xfId="1" applyNumberFormat="1" applyFont="1" applyFill="1" applyBorder="1"/>
    <xf numFmtId="3" fontId="15" fillId="13" borderId="13" xfId="1" applyNumberFormat="1" applyFont="1" applyFill="1" applyBorder="1"/>
    <xf numFmtId="3" fontId="15" fillId="13" borderId="14" xfId="1" applyNumberFormat="1" applyFont="1" applyFill="1" applyBorder="1"/>
    <xf numFmtId="164" fontId="15" fillId="13" borderId="7" xfId="1" applyNumberFormat="1" applyFont="1" applyFill="1" applyBorder="1"/>
    <xf numFmtId="164" fontId="15" fillId="13" borderId="8" xfId="1" applyNumberFormat="1" applyFont="1" applyFill="1" applyBorder="1"/>
    <xf numFmtId="164" fontId="15" fillId="13" borderId="9" xfId="1" applyNumberFormat="1" applyFont="1" applyFill="1" applyBorder="1"/>
    <xf numFmtId="164" fontId="15" fillId="13" borderId="10" xfId="1" applyNumberFormat="1" applyFont="1" applyFill="1" applyBorder="1"/>
    <xf numFmtId="164" fontId="15" fillId="13" borderId="0" xfId="1" applyNumberFormat="1" applyFont="1" applyFill="1" applyBorder="1"/>
    <xf numFmtId="164" fontId="15" fillId="13" borderId="11" xfId="1" applyNumberFormat="1" applyFont="1" applyFill="1" applyBorder="1"/>
    <xf numFmtId="164" fontId="15" fillId="13" borderId="12" xfId="1" applyNumberFormat="1" applyFont="1" applyFill="1" applyBorder="1"/>
    <xf numFmtId="164" fontId="15" fillId="13" borderId="13" xfId="1" applyNumberFormat="1" applyFont="1" applyFill="1" applyBorder="1"/>
    <xf numFmtId="164" fontId="15" fillId="13" borderId="14" xfId="1" applyNumberFormat="1" applyFont="1" applyFill="1" applyBorder="1"/>
    <xf numFmtId="9" fontId="19" fillId="16" borderId="0" xfId="1" applyFont="1" applyFill="1" applyBorder="1"/>
    <xf numFmtId="3" fontId="17" fillId="0" borderId="0" xfId="0" applyNumberFormat="1" applyFont="1"/>
    <xf numFmtId="0" fontId="18" fillId="2" borderId="0" xfId="0" applyFont="1" applyFill="1"/>
    <xf numFmtId="0" fontId="18" fillId="0" borderId="0" xfId="0" applyFont="1"/>
    <xf numFmtId="0" fontId="17" fillId="0" borderId="0" xfId="0" applyFont="1" applyAlignment="1">
      <alignment vertical="top"/>
    </xf>
    <xf numFmtId="0" fontId="17" fillId="0" borderId="0" xfId="0" applyFont="1" applyAlignment="1">
      <alignment wrapText="1"/>
    </xf>
    <xf numFmtId="0" fontId="16" fillId="0" borderId="0" xfId="0" applyFont="1"/>
    <xf numFmtId="0" fontId="22" fillId="0" borderId="0" xfId="0" applyFont="1"/>
    <xf numFmtId="3" fontId="22" fillId="0" borderId="0" xfId="2" applyNumberFormat="1" applyFont="1"/>
    <xf numFmtId="9" fontId="17" fillId="0" borderId="0" xfId="0" applyNumberFormat="1" applyFont="1"/>
    <xf numFmtId="0" fontId="17" fillId="16" borderId="7" xfId="0" applyFont="1" applyFill="1" applyBorder="1"/>
    <xf numFmtId="0" fontId="17" fillId="16" borderId="8" xfId="0" applyFont="1" applyFill="1" applyBorder="1"/>
    <xf numFmtId="0" fontId="17" fillId="16" borderId="10" xfId="0" applyFont="1" applyFill="1" applyBorder="1"/>
    <xf numFmtId="0" fontId="17" fillId="16" borderId="0" xfId="0" applyFont="1" applyFill="1" applyBorder="1"/>
    <xf numFmtId="0" fontId="16" fillId="16" borderId="0" xfId="0" applyFont="1" applyFill="1" applyBorder="1"/>
    <xf numFmtId="0" fontId="23" fillId="16" borderId="0" xfId="0" applyFont="1" applyFill="1" applyBorder="1"/>
    <xf numFmtId="0" fontId="23" fillId="16" borderId="0" xfId="0" applyFont="1" applyFill="1" applyBorder="1" applyAlignment="1">
      <alignment horizontal="right"/>
    </xf>
    <xf numFmtId="3" fontId="17" fillId="16" borderId="0" xfId="0" applyNumberFormat="1" applyFont="1" applyFill="1" applyBorder="1"/>
    <xf numFmtId="0" fontId="17" fillId="16" borderId="12" xfId="0" applyFont="1" applyFill="1" applyBorder="1"/>
    <xf numFmtId="0" fontId="17" fillId="16" borderId="13" xfId="0" applyFont="1" applyFill="1" applyBorder="1"/>
    <xf numFmtId="0" fontId="18" fillId="16" borderId="13" xfId="0" applyFont="1" applyFill="1" applyBorder="1" applyAlignment="1">
      <alignment horizontal="right" wrapText="1"/>
    </xf>
    <xf numFmtId="0" fontId="18" fillId="0" borderId="1" xfId="0" applyFont="1" applyBorder="1" applyAlignment="1">
      <alignment horizontal="right" wrapText="1"/>
    </xf>
    <xf numFmtId="3" fontId="15" fillId="13" borderId="8" xfId="0" applyNumberFormat="1" applyFont="1" applyFill="1" applyBorder="1"/>
    <xf numFmtId="3" fontId="15" fillId="13" borderId="9" xfId="0" applyNumberFormat="1" applyFont="1" applyFill="1" applyBorder="1"/>
    <xf numFmtId="3" fontId="15" fillId="13" borderId="13" xfId="0" applyNumberFormat="1" applyFont="1" applyFill="1" applyBorder="1"/>
    <xf numFmtId="3" fontId="15" fillId="13" borderId="14" xfId="0" applyNumberFormat="1" applyFont="1" applyFill="1" applyBorder="1"/>
    <xf numFmtId="0" fontId="18" fillId="0" borderId="0" xfId="0" applyFont="1" applyBorder="1"/>
    <xf numFmtId="3" fontId="18" fillId="0" borderId="0" xfId="0" applyNumberFormat="1" applyFont="1" applyBorder="1"/>
    <xf numFmtId="0" fontId="17" fillId="0" borderId="13" xfId="0" applyFont="1" applyBorder="1"/>
    <xf numFmtId="3" fontId="17" fillId="0" borderId="13" xfId="0" applyNumberFormat="1" applyFont="1" applyBorder="1"/>
    <xf numFmtId="9" fontId="14" fillId="10" borderId="13" xfId="0" applyNumberFormat="1" applyFont="1" applyFill="1" applyBorder="1"/>
    <xf numFmtId="3" fontId="14" fillId="10" borderId="13" xfId="0" applyNumberFormat="1" applyFont="1" applyFill="1" applyBorder="1"/>
    <xf numFmtId="0" fontId="17" fillId="0" borderId="0" xfId="0" applyFont="1" applyBorder="1"/>
    <xf numFmtId="0" fontId="18" fillId="0" borderId="8" xfId="0" applyFont="1" applyBorder="1"/>
    <xf numFmtId="3" fontId="18" fillId="0" borderId="8" xfId="0" applyNumberFormat="1" applyFont="1" applyBorder="1"/>
    <xf numFmtId="3" fontId="17" fillId="16" borderId="0" xfId="0" applyNumberFormat="1" applyFont="1" applyFill="1"/>
    <xf numFmtId="0" fontId="16" fillId="0" borderId="13" xfId="0" applyFont="1" applyBorder="1" applyAlignment="1">
      <alignment wrapText="1"/>
    </xf>
    <xf numFmtId="0" fontId="20" fillId="0" borderId="13" xfId="0" applyFont="1" applyBorder="1" applyAlignment="1">
      <alignment wrapText="1"/>
    </xf>
    <xf numFmtId="0" fontId="24" fillId="0" borderId="0" xfId="0" applyFont="1" applyAlignment="1">
      <alignment horizontal="center"/>
    </xf>
    <xf numFmtId="0" fontId="26" fillId="0" borderId="13" xfId="0" applyFont="1" applyBorder="1" applyAlignment="1">
      <alignment wrapText="1"/>
    </xf>
    <xf numFmtId="3" fontId="17" fillId="0" borderId="0" xfId="0" applyNumberFormat="1" applyFont="1" applyAlignment="1">
      <alignment horizontal="right"/>
    </xf>
    <xf numFmtId="3" fontId="27" fillId="0" borderId="0" xfId="0" applyNumberFormat="1" applyFont="1" applyAlignment="1">
      <alignment horizontal="right" wrapText="1"/>
    </xf>
    <xf numFmtId="3" fontId="23" fillId="0" borderId="0" xfId="0" applyNumberFormat="1" applyFont="1" applyAlignment="1"/>
    <xf numFmtId="0" fontId="17" fillId="2" borderId="7" xfId="0" applyFont="1" applyFill="1" applyBorder="1"/>
    <xf numFmtId="9" fontId="14" fillId="10" borderId="9" xfId="0" applyNumberFormat="1" applyFont="1" applyFill="1" applyBorder="1"/>
    <xf numFmtId="0" fontId="17" fillId="2" borderId="10" xfId="0" quotePrefix="1" applyFont="1" applyFill="1" applyBorder="1"/>
    <xf numFmtId="9" fontId="14" fillId="10" borderId="11" xfId="0" applyNumberFormat="1" applyFont="1" applyFill="1" applyBorder="1"/>
    <xf numFmtId="0" fontId="17" fillId="2" borderId="10" xfId="0" applyFont="1" applyFill="1" applyBorder="1"/>
    <xf numFmtId="0" fontId="17" fillId="2" borderId="12" xfId="0" applyFont="1" applyFill="1" applyBorder="1"/>
    <xf numFmtId="9" fontId="14" fillId="10" borderId="14" xfId="0" applyNumberFormat="1" applyFont="1" applyFill="1" applyBorder="1"/>
    <xf numFmtId="0" fontId="28" fillId="0" borderId="13" xfId="0" applyFont="1" applyBorder="1" applyAlignment="1">
      <alignment wrapText="1"/>
    </xf>
    <xf numFmtId="9" fontId="27" fillId="16" borderId="0" xfId="1" applyFont="1" applyFill="1"/>
    <xf numFmtId="0" fontId="27" fillId="0" borderId="0" xfId="0" applyFont="1"/>
    <xf numFmtId="3" fontId="27" fillId="16" borderId="0" xfId="0" applyNumberFormat="1" applyFont="1" applyFill="1"/>
    <xf numFmtId="0" fontId="29" fillId="15" borderId="4" xfId="0" applyFont="1" applyFill="1" applyBorder="1"/>
    <xf numFmtId="0" fontId="29" fillId="15" borderId="5" xfId="0" applyFont="1" applyFill="1" applyBorder="1"/>
    <xf numFmtId="3" fontId="29" fillId="15" borderId="5" xfId="0" applyNumberFormat="1" applyFont="1" applyFill="1" applyBorder="1"/>
    <xf numFmtId="3" fontId="30" fillId="15" borderId="5" xfId="0" applyNumberFormat="1" applyFont="1" applyFill="1" applyBorder="1"/>
    <xf numFmtId="3" fontId="30" fillId="15" borderId="6" xfId="0" applyNumberFormat="1" applyFont="1" applyFill="1" applyBorder="1"/>
    <xf numFmtId="3" fontId="31" fillId="12" borderId="0" xfId="0" applyNumberFormat="1" applyFont="1" applyFill="1"/>
    <xf numFmtId="164" fontId="14" fillId="10" borderId="0" xfId="0" applyNumberFormat="1" applyFont="1" applyFill="1"/>
    <xf numFmtId="164" fontId="7" fillId="6" borderId="3" xfId="2" applyNumberFormat="1" applyFont="1" applyFill="1" applyBorder="1"/>
    <xf numFmtId="0" fontId="32" fillId="0" borderId="0" xfId="0" applyFont="1"/>
    <xf numFmtId="0" fontId="32" fillId="0" borderId="0" xfId="0" applyFont="1" applyAlignment="1">
      <alignment wrapText="1"/>
    </xf>
    <xf numFmtId="0" fontId="32" fillId="0" borderId="0" xfId="2" applyFont="1"/>
    <xf numFmtId="3" fontId="32" fillId="0" borderId="0" xfId="0" applyNumberFormat="1" applyFont="1"/>
    <xf numFmtId="3" fontId="32" fillId="0" borderId="0" xfId="2" applyNumberFormat="1" applyFont="1"/>
    <xf numFmtId="0" fontId="33" fillId="5" borderId="3" xfId="2" applyFont="1" applyFill="1" applyBorder="1" applyAlignment="1">
      <alignment horizontal="left" vertical="center" wrapText="1"/>
    </xf>
    <xf numFmtId="0" fontId="33" fillId="2" borderId="3" xfId="2" applyFont="1" applyFill="1" applyBorder="1"/>
    <xf numFmtId="164" fontId="33" fillId="2" borderId="3" xfId="2" applyNumberFormat="1" applyFont="1" applyFill="1" applyBorder="1"/>
    <xf numFmtId="0" fontId="7" fillId="15" borderId="0" xfId="2" applyFont="1" applyFill="1"/>
    <xf numFmtId="164" fontId="7" fillId="15" borderId="0" xfId="2" applyNumberFormat="1" applyFont="1" applyFill="1"/>
    <xf numFmtId="164" fontId="7" fillId="15" borderId="0" xfId="1" applyNumberFormat="1" applyFont="1" applyFill="1"/>
    <xf numFmtId="0" fontId="7" fillId="15" borderId="13" xfId="0" applyFont="1" applyFill="1" applyBorder="1"/>
    <xf numFmtId="0" fontId="6" fillId="15" borderId="13" xfId="0" applyFont="1" applyFill="1" applyBorder="1"/>
    <xf numFmtId="3" fontId="9" fillId="7" borderId="0" xfId="4" applyNumberFormat="1" applyFont="1" applyFill="1" applyBorder="1"/>
    <xf numFmtId="3" fontId="32" fillId="4" borderId="0" xfId="3" applyNumberFormat="1" applyFont="1" applyFill="1" applyBorder="1" applyAlignment="1"/>
    <xf numFmtId="0" fontId="34" fillId="7" borderId="15" xfId="3" applyNumberFormat="1" applyFont="1" applyFill="1" applyBorder="1" applyAlignment="1"/>
    <xf numFmtId="3" fontId="34" fillId="7" borderId="0" xfId="4" applyNumberFormat="1" applyFont="1" applyFill="1" applyBorder="1"/>
    <xf numFmtId="3" fontId="34" fillId="7" borderId="0" xfId="3" applyNumberFormat="1" applyFont="1" applyFill="1" applyBorder="1" applyAlignment="1"/>
    <xf numFmtId="166" fontId="34" fillId="7" borderId="2" xfId="4" applyNumberFormat="1" applyFont="1" applyFill="1" applyBorder="1"/>
    <xf numFmtId="166" fontId="34" fillId="7" borderId="0" xfId="3" applyNumberFormat="1" applyFont="1" applyFill="1" applyBorder="1" applyAlignment="1"/>
    <xf numFmtId="164" fontId="34" fillId="7" borderId="2" xfId="1" applyNumberFormat="1" applyFont="1" applyFill="1" applyBorder="1"/>
    <xf numFmtId="164" fontId="34" fillId="7" borderId="0" xfId="1" applyNumberFormat="1" applyFont="1" applyFill="1" applyBorder="1" applyAlignment="1"/>
    <xf numFmtId="0" fontId="6" fillId="8" borderId="17" xfId="3" applyNumberFormat="1" applyFont="1" applyFill="1" applyBorder="1" applyAlignment="1">
      <alignment horizontal="center" wrapText="1"/>
    </xf>
    <xf numFmtId="0" fontId="6" fillId="8" borderId="18" xfId="3" applyNumberFormat="1" applyFont="1" applyFill="1" applyBorder="1" applyAlignment="1">
      <alignment horizontal="center" wrapText="1"/>
    </xf>
    <xf numFmtId="164" fontId="34" fillId="7" borderId="19" xfId="1" applyNumberFormat="1" applyFont="1" applyFill="1" applyBorder="1"/>
    <xf numFmtId="164" fontId="34" fillId="7" borderId="20" xfId="1" applyNumberFormat="1" applyFont="1" applyFill="1" applyBorder="1" applyAlignment="1"/>
    <xf numFmtId="166" fontId="34" fillId="7" borderId="21" xfId="3" applyNumberFormat="1" applyFont="1" applyFill="1" applyBorder="1" applyAlignment="1"/>
    <xf numFmtId="166" fontId="9" fillId="9" borderId="21" xfId="3" applyNumberFormat="1" applyFont="1" applyFill="1" applyBorder="1" applyAlignment="1"/>
    <xf numFmtId="164" fontId="34" fillId="7" borderId="21" xfId="1" applyNumberFormat="1" applyFont="1" applyFill="1" applyBorder="1" applyAlignment="1"/>
    <xf numFmtId="164" fontId="34" fillId="7" borderId="22" xfId="1" applyNumberFormat="1" applyFont="1" applyFill="1" applyBorder="1" applyAlignment="1"/>
    <xf numFmtId="0" fontId="6" fillId="8" borderId="23" xfId="2" applyFont="1" applyFill="1" applyBorder="1"/>
    <xf numFmtId="0" fontId="6" fillId="8" borderId="24" xfId="2" applyFont="1" applyFill="1" applyBorder="1"/>
    <xf numFmtId="3" fontId="6" fillId="8" borderId="24" xfId="2" applyNumberFormat="1" applyFont="1" applyFill="1" applyBorder="1"/>
    <xf numFmtId="3" fontId="33" fillId="8" borderId="24" xfId="2" applyNumberFormat="1" applyFont="1" applyFill="1" applyBorder="1"/>
    <xf numFmtId="0" fontId="34" fillId="7" borderId="25" xfId="3" applyNumberFormat="1" applyFont="1" applyFill="1" applyBorder="1" applyAlignment="1"/>
    <xf numFmtId="0" fontId="34" fillId="7" borderId="26" xfId="3" applyNumberFormat="1" applyFont="1" applyFill="1" applyBorder="1" applyAlignment="1"/>
    <xf numFmtId="0" fontId="34" fillId="7" borderId="27" xfId="3" applyNumberFormat="1" applyFont="1" applyFill="1" applyBorder="1" applyAlignment="1"/>
    <xf numFmtId="3" fontId="34" fillId="7" borderId="21" xfId="3" applyNumberFormat="1" applyFont="1" applyFill="1" applyBorder="1" applyAlignment="1"/>
    <xf numFmtId="3" fontId="32" fillId="4" borderId="21" xfId="3" applyNumberFormat="1" applyFont="1" applyFill="1" applyBorder="1" applyAlignment="1"/>
    <xf numFmtId="3" fontId="6" fillId="8" borderId="28" xfId="3" applyNumberFormat="1" applyFont="1" applyFill="1" applyBorder="1" applyAlignment="1"/>
    <xf numFmtId="3" fontId="6" fillId="8" borderId="29" xfId="3" applyNumberFormat="1" applyFont="1" applyFill="1" applyBorder="1" applyAlignment="1"/>
    <xf numFmtId="3" fontId="6" fillId="8" borderId="16" xfId="2" applyNumberFormat="1" applyFont="1" applyFill="1" applyBorder="1"/>
    <xf numFmtId="0" fontId="6" fillId="8" borderId="23" xfId="3" applyNumberFormat="1" applyFont="1" applyFill="1" applyBorder="1" applyAlignment="1">
      <alignment horizontal="center" wrapText="1"/>
    </xf>
    <xf numFmtId="0" fontId="6" fillId="8" borderId="30" xfId="3" applyNumberFormat="1" applyFont="1" applyFill="1" applyBorder="1" applyAlignment="1">
      <alignment horizontal="center" wrapText="1"/>
    </xf>
    <xf numFmtId="0" fontId="6" fillId="8" borderId="24" xfId="3" applyNumberFormat="1" applyFont="1" applyFill="1" applyBorder="1" applyAlignment="1">
      <alignment horizontal="center" wrapText="1"/>
    </xf>
    <xf numFmtId="0" fontId="6" fillId="8" borderId="16" xfId="3" applyNumberFormat="1" applyFont="1" applyFill="1" applyBorder="1" applyAlignment="1">
      <alignment horizontal="center" wrapText="1"/>
    </xf>
    <xf numFmtId="0" fontId="6" fillId="8" borderId="31" xfId="3" applyNumberFormat="1" applyFont="1" applyFill="1" applyBorder="1" applyAlignment="1">
      <alignment horizontal="center" wrapText="1"/>
    </xf>
    <xf numFmtId="166" fontId="34" fillId="7" borderId="32" xfId="1" applyNumberFormat="1" applyFont="1" applyFill="1" applyBorder="1"/>
    <xf numFmtId="166" fontId="34" fillId="7" borderId="33" xfId="1" applyNumberFormat="1" applyFont="1" applyFill="1" applyBorder="1" applyAlignment="1"/>
    <xf numFmtId="166" fontId="34" fillId="7" borderId="34" xfId="1" applyNumberFormat="1" applyFont="1" applyFill="1" applyBorder="1" applyAlignment="1"/>
    <xf numFmtId="166" fontId="32" fillId="4" borderId="19" xfId="1" applyNumberFormat="1" applyFont="1" applyFill="1" applyBorder="1"/>
    <xf numFmtId="164" fontId="32" fillId="4" borderId="2" xfId="1" applyNumberFormat="1" applyFont="1" applyFill="1" applyBorder="1"/>
    <xf numFmtId="166" fontId="32" fillId="4" borderId="20" xfId="1" applyNumberFormat="1" applyFont="1" applyFill="1" applyBorder="1" applyAlignment="1"/>
    <xf numFmtId="164" fontId="32" fillId="4" borderId="0" xfId="1" applyNumberFormat="1" applyFont="1" applyFill="1" applyBorder="1" applyAlignment="1"/>
    <xf numFmtId="166" fontId="32" fillId="4" borderId="22" xfId="1" applyNumberFormat="1" applyFont="1" applyFill="1" applyBorder="1" applyAlignment="1"/>
    <xf numFmtId="164" fontId="32" fillId="4" borderId="21" xfId="1" applyNumberFormat="1" applyFont="1" applyFill="1" applyBorder="1" applyAlignment="1"/>
    <xf numFmtId="3" fontId="32" fillId="4" borderId="25" xfId="3" applyNumberFormat="1" applyFont="1" applyFill="1" applyBorder="1" applyAlignment="1"/>
    <xf numFmtId="3" fontId="6" fillId="8" borderId="23" xfId="2" applyNumberFormat="1" applyFont="1" applyFill="1" applyBorder="1"/>
    <xf numFmtId="3" fontId="6" fillId="8" borderId="35" xfId="2" applyNumberFormat="1" applyFont="1" applyFill="1" applyBorder="1"/>
    <xf numFmtId="3" fontId="6" fillId="8" borderId="25" xfId="3" applyNumberFormat="1" applyFont="1" applyFill="1" applyBorder="1" applyAlignment="1"/>
    <xf numFmtId="0" fontId="6" fillId="8" borderId="35" xfId="3" applyNumberFormat="1" applyFont="1" applyFill="1" applyBorder="1" applyAlignment="1">
      <alignment horizontal="center" wrapText="1"/>
    </xf>
    <xf numFmtId="3" fontId="32" fillId="4" borderId="20" xfId="3" applyNumberFormat="1" applyFont="1" applyFill="1" applyBorder="1" applyAlignment="1"/>
    <xf numFmtId="0" fontId="15" fillId="15" borderId="0" xfId="0" applyFont="1" applyFill="1"/>
    <xf numFmtId="9" fontId="32" fillId="4" borderId="0" xfId="1" applyFont="1" applyFill="1" applyBorder="1" applyAlignment="1"/>
    <xf numFmtId="9" fontId="6" fillId="8" borderId="24" xfId="1" applyNumberFormat="1" applyFont="1" applyFill="1" applyBorder="1"/>
    <xf numFmtId="0" fontId="10" fillId="0" borderId="0" xfId="2" applyFont="1" applyAlignment="1">
      <alignment horizontal="center" wrapText="1"/>
    </xf>
    <xf numFmtId="0" fontId="18" fillId="0" borderId="0" xfId="0" applyFont="1" applyAlignment="1">
      <alignment vertical="top"/>
    </xf>
    <xf numFmtId="0" fontId="17" fillId="0" borderId="0" xfId="0" applyFont="1" applyAlignment="1">
      <alignment vertical="top" wrapText="1"/>
    </xf>
    <xf numFmtId="0" fontId="5" fillId="0" borderId="0" xfId="2" applyFont="1" applyBorder="1"/>
    <xf numFmtId="0" fontId="5" fillId="0" borderId="17" xfId="2" applyFont="1" applyBorder="1"/>
    <xf numFmtId="9" fontId="32" fillId="4" borderId="20" xfId="1" applyFont="1" applyFill="1" applyBorder="1" applyAlignment="1"/>
    <xf numFmtId="0" fontId="4" fillId="0" borderId="21" xfId="2" applyFont="1" applyBorder="1"/>
    <xf numFmtId="9" fontId="6" fillId="8" borderId="35" xfId="1" applyNumberFormat="1" applyFont="1" applyFill="1" applyBorder="1"/>
    <xf numFmtId="0" fontId="27" fillId="11" borderId="0" xfId="0" applyFont="1" applyFill="1" applyAlignment="1">
      <alignment horizontal="left" vertical="center" wrapText="1"/>
    </xf>
    <xf numFmtId="0" fontId="27" fillId="11" borderId="0" xfId="0" applyFont="1" applyFill="1" applyAlignment="1">
      <alignment horizontal="left" vertical="center"/>
    </xf>
    <xf numFmtId="0" fontId="16" fillId="0" borderId="0" xfId="0" applyFont="1" applyAlignment="1">
      <alignment horizontal="center"/>
    </xf>
    <xf numFmtId="0" fontId="20" fillId="16" borderId="8" xfId="0" applyFont="1" applyFill="1" applyBorder="1" applyAlignment="1">
      <alignment horizontal="center"/>
    </xf>
    <xf numFmtId="0" fontId="17" fillId="16" borderId="7" xfId="0" applyFont="1" applyFill="1" applyBorder="1" applyAlignment="1">
      <alignment horizontal="center" vertical="center" wrapText="1"/>
    </xf>
    <xf numFmtId="0" fontId="17" fillId="16" borderId="8" xfId="0" applyFont="1" applyFill="1" applyBorder="1" applyAlignment="1">
      <alignment horizontal="center" vertical="center" wrapText="1"/>
    </xf>
    <xf numFmtId="0" fontId="17" fillId="16" borderId="9" xfId="0" applyFont="1" applyFill="1" applyBorder="1" applyAlignment="1">
      <alignment horizontal="center" vertical="center" wrapText="1"/>
    </xf>
    <xf numFmtId="0" fontId="17" fillId="16" borderId="10" xfId="0" applyFont="1" applyFill="1" applyBorder="1" applyAlignment="1">
      <alignment horizontal="center" vertical="center" wrapText="1"/>
    </xf>
    <xf numFmtId="0" fontId="17" fillId="16" borderId="0" xfId="0" applyFont="1" applyFill="1" applyBorder="1" applyAlignment="1">
      <alignment horizontal="center" vertical="center" wrapText="1"/>
    </xf>
    <xf numFmtId="0" fontId="17" fillId="16" borderId="11" xfId="0" applyFont="1" applyFill="1" applyBorder="1" applyAlignment="1">
      <alignment horizontal="center" vertical="center" wrapText="1"/>
    </xf>
    <xf numFmtId="0" fontId="17" fillId="16" borderId="12" xfId="0" applyFont="1" applyFill="1" applyBorder="1" applyAlignment="1">
      <alignment horizontal="center" vertical="center" wrapText="1"/>
    </xf>
    <xf numFmtId="0" fontId="17" fillId="16" borderId="13" xfId="0" applyFont="1" applyFill="1" applyBorder="1" applyAlignment="1">
      <alignment horizontal="center" vertical="center" wrapText="1"/>
    </xf>
    <xf numFmtId="0" fontId="17" fillId="16" borderId="14" xfId="0" applyFont="1" applyFill="1" applyBorder="1" applyAlignment="1">
      <alignment horizontal="center" vertical="center" wrapText="1"/>
    </xf>
    <xf numFmtId="0" fontId="24" fillId="0" borderId="0" xfId="0" applyFont="1" applyAlignment="1">
      <alignment horizontal="center"/>
    </xf>
    <xf numFmtId="3" fontId="15" fillId="15" borderId="0" xfId="0" applyNumberFormat="1" applyFont="1" applyFill="1" applyAlignment="1">
      <alignment horizontal="right"/>
    </xf>
    <xf numFmtId="0" fontId="6" fillId="15" borderId="3" xfId="2" applyFont="1" applyFill="1" applyBorder="1" applyAlignment="1">
      <alignment horizontal="center" wrapText="1"/>
    </xf>
    <xf numFmtId="0" fontId="8" fillId="3" borderId="0" xfId="2" applyFont="1" applyFill="1" applyAlignment="1">
      <alignment horizontal="center" vertical="center"/>
    </xf>
    <xf numFmtId="0" fontId="10" fillId="0" borderId="0" xfId="2" applyFont="1" applyAlignment="1">
      <alignment horizontal="center"/>
    </xf>
    <xf numFmtId="0" fontId="8" fillId="3" borderId="0" xfId="2" applyFont="1" applyFill="1" applyBorder="1" applyAlignment="1">
      <alignment horizontal="center" vertical="center" wrapText="1"/>
    </xf>
    <xf numFmtId="0" fontId="6" fillId="8" borderId="23" xfId="3" applyNumberFormat="1" applyFont="1" applyFill="1" applyBorder="1" applyAlignment="1">
      <alignment horizontal="center" wrapText="1"/>
    </xf>
    <xf numFmtId="0" fontId="6" fillId="8" borderId="24" xfId="3" applyNumberFormat="1" applyFont="1" applyFill="1" applyBorder="1" applyAlignment="1">
      <alignment horizontal="center" wrapText="1"/>
    </xf>
    <xf numFmtId="0" fontId="6" fillId="8" borderId="35" xfId="3" applyNumberFormat="1" applyFont="1" applyFill="1" applyBorder="1" applyAlignment="1">
      <alignment horizontal="center" wrapText="1"/>
    </xf>
  </cellXfs>
  <cellStyles count="8">
    <cellStyle name="Normál" xfId="0" builtinId="0"/>
    <cellStyle name="Normál 10" xfId="3"/>
    <cellStyle name="Normál 11" xfId="6"/>
    <cellStyle name="Normál 2" xfId="2"/>
    <cellStyle name="Normál 3" xfId="4"/>
    <cellStyle name="Normal 6" xfId="7"/>
    <cellStyle name="Százalék" xfId="1" builtinId="5"/>
    <cellStyle name="Százalék 2" xfId="5"/>
  </cellStyles>
  <dxfs count="0"/>
  <tableStyles count="0" defaultTableStyle="TableStyleMedium2" defaultPivotStyle="PivotStyleLight16"/>
  <colors>
    <mruColors>
      <color rgb="FFFFFFCC"/>
      <color rgb="FFFFFFD9"/>
      <color rgb="FFD5FFE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0</xdr:colOff>
      <xdr:row>59</xdr:row>
      <xdr:rowOff>57150</xdr:rowOff>
    </xdr:from>
    <xdr:to>
      <xdr:col>15</xdr:col>
      <xdr:colOff>9525</xdr:colOff>
      <xdr:row>61</xdr:row>
      <xdr:rowOff>47625</xdr:rowOff>
    </xdr:to>
    <xdr:cxnSp macro="">
      <xdr:nvCxnSpPr>
        <xdr:cNvPr id="3" name="Egyenes összekötő nyíllal 2"/>
        <xdr:cNvCxnSpPr/>
      </xdr:nvCxnSpPr>
      <xdr:spPr>
        <a:xfrm flipV="1">
          <a:off x="9467850" y="7200900"/>
          <a:ext cx="838200" cy="371475"/>
        </a:xfrm>
        <a:prstGeom prst="straightConnector1">
          <a:avLst/>
        </a:prstGeom>
        <a:ln w="28575">
          <a:solidFill>
            <a:schemeClr val="tx2">
              <a:lumMod val="50000"/>
            </a:schemeClr>
          </a:solidFill>
          <a:headEnd type="none" w="med" len="med"/>
          <a:tailEnd type="triangle" w="lg" len="lg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S70"/>
  <sheetViews>
    <sheetView showGridLines="0" tabSelected="1" workbookViewId="0">
      <pane xSplit="3" ySplit="13" topLeftCell="D14" activePane="bottomRight" state="frozen"/>
      <selection pane="topRight" activeCell="C1" sqref="C1"/>
      <selection pane="bottomLeft" activeCell="A14" sqref="A14"/>
      <selection pane="bottomRight" activeCell="E38" sqref="E38"/>
    </sheetView>
  </sheetViews>
  <sheetFormatPr defaultRowHeight="15" outlineLevelRow="1" x14ac:dyDescent="0.25"/>
  <cols>
    <col min="1" max="2" width="3.42578125" customWidth="1"/>
    <col min="3" max="3" width="31.28515625" customWidth="1"/>
    <col min="4" max="4" width="13.140625" customWidth="1"/>
    <col min="5" max="5" width="13.5703125" customWidth="1"/>
    <col min="6" max="6" width="12.85546875" customWidth="1"/>
    <col min="7" max="7" width="3.5703125" customWidth="1"/>
    <col min="8" max="10" width="7.140625" customWidth="1"/>
    <col min="11" max="13" width="14" customWidth="1"/>
    <col min="14" max="14" width="3.28515625" customWidth="1"/>
  </cols>
  <sheetData>
    <row r="2" spans="1:15" ht="18" hidden="1" customHeight="1" outlineLevel="1" x14ac:dyDescent="0.25">
      <c r="C2" s="184" t="s">
        <v>199</v>
      </c>
      <c r="D2" s="185"/>
      <c r="E2" s="185"/>
      <c r="F2" s="185"/>
      <c r="G2" s="185"/>
      <c r="H2" s="185"/>
      <c r="I2" s="185"/>
      <c r="J2" s="185"/>
      <c r="K2" s="185"/>
      <c r="L2" s="185"/>
      <c r="M2" s="185"/>
    </row>
    <row r="3" spans="1:15" ht="18" hidden="1" customHeight="1" outlineLevel="1" x14ac:dyDescent="0.25">
      <c r="C3" s="185"/>
      <c r="D3" s="185"/>
      <c r="E3" s="185"/>
      <c r="F3" s="185"/>
      <c r="G3" s="185"/>
      <c r="H3" s="185"/>
      <c r="I3" s="185"/>
      <c r="J3" s="185"/>
      <c r="K3" s="185"/>
      <c r="L3" s="185"/>
      <c r="M3" s="185"/>
    </row>
    <row r="4" spans="1:15" ht="18" hidden="1" customHeight="1" outlineLevel="1" x14ac:dyDescent="0.25">
      <c r="C4" s="185"/>
      <c r="D4" s="185"/>
      <c r="E4" s="185"/>
      <c r="F4" s="185"/>
      <c r="G4" s="185"/>
      <c r="H4" s="185"/>
      <c r="I4" s="185"/>
      <c r="J4" s="185"/>
      <c r="K4" s="185"/>
      <c r="L4" s="185"/>
      <c r="M4" s="185"/>
    </row>
    <row r="5" spans="1:15" ht="18" hidden="1" customHeight="1" outlineLevel="1" x14ac:dyDescent="0.25">
      <c r="C5" s="185"/>
      <c r="D5" s="185"/>
      <c r="E5" s="185"/>
      <c r="F5" s="185"/>
      <c r="G5" s="185"/>
      <c r="H5" s="185"/>
      <c r="I5" s="185"/>
      <c r="J5" s="185"/>
      <c r="K5" s="185"/>
      <c r="L5" s="185"/>
      <c r="M5" s="185"/>
    </row>
    <row r="6" spans="1:15" ht="18" hidden="1" customHeight="1" outlineLevel="1" x14ac:dyDescent="0.25">
      <c r="C6" s="185"/>
      <c r="D6" s="185"/>
      <c r="E6" s="185"/>
      <c r="F6" s="185"/>
      <c r="G6" s="185"/>
      <c r="H6" s="185"/>
      <c r="I6" s="185"/>
      <c r="J6" s="185"/>
      <c r="K6" s="185"/>
      <c r="L6" s="185"/>
      <c r="M6" s="185"/>
    </row>
    <row r="7" spans="1:15" ht="18" hidden="1" customHeight="1" outlineLevel="1" x14ac:dyDescent="0.25">
      <c r="C7" s="185"/>
      <c r="D7" s="185"/>
      <c r="E7" s="185"/>
      <c r="F7" s="185"/>
      <c r="G7" s="185"/>
      <c r="H7" s="185"/>
      <c r="I7" s="185"/>
      <c r="J7" s="185"/>
      <c r="K7" s="185"/>
      <c r="L7" s="185"/>
      <c r="M7" s="185"/>
    </row>
    <row r="8" spans="1:15" ht="18" hidden="1" customHeight="1" outlineLevel="1" x14ac:dyDescent="0.25">
      <c r="C8" s="185"/>
      <c r="D8" s="185"/>
      <c r="E8" s="185"/>
      <c r="F8" s="185"/>
      <c r="G8" s="185"/>
      <c r="H8" s="185"/>
      <c r="I8" s="185"/>
      <c r="J8" s="185"/>
      <c r="K8" s="185"/>
      <c r="L8" s="185"/>
      <c r="M8" s="185"/>
    </row>
    <row r="9" spans="1:15" ht="18" hidden="1" customHeight="1" outlineLevel="1" x14ac:dyDescent="0.25">
      <c r="C9" s="185"/>
      <c r="D9" s="185"/>
      <c r="E9" s="185"/>
      <c r="F9" s="185"/>
      <c r="G9" s="185"/>
      <c r="H9" s="185"/>
      <c r="I9" s="185"/>
      <c r="J9" s="185"/>
      <c r="K9" s="185"/>
      <c r="L9" s="185"/>
      <c r="M9" s="185"/>
    </row>
    <row r="10" spans="1:15" ht="18" hidden="1" customHeight="1" outlineLevel="1" x14ac:dyDescent="0.25">
      <c r="C10" s="185"/>
      <c r="D10" s="185"/>
      <c r="E10" s="185"/>
      <c r="F10" s="185"/>
      <c r="G10" s="185"/>
      <c r="H10" s="185"/>
      <c r="I10" s="185"/>
      <c r="J10" s="185"/>
      <c r="K10" s="185"/>
      <c r="L10" s="185"/>
      <c r="M10" s="185"/>
    </row>
    <row r="11" spans="1:15" collapsed="1" x14ac:dyDescent="0.25"/>
    <row r="12" spans="1:15" x14ac:dyDescent="0.25">
      <c r="A12" s="22"/>
      <c r="B12" s="22"/>
      <c r="C12" s="22"/>
      <c r="D12" s="22"/>
      <c r="E12" s="22"/>
      <c r="F12" s="22"/>
      <c r="G12" s="22"/>
      <c r="H12" s="186" t="s">
        <v>107</v>
      </c>
      <c r="I12" s="186"/>
      <c r="J12" s="186"/>
      <c r="K12" s="186"/>
      <c r="L12" s="186"/>
      <c r="M12" s="186"/>
      <c r="N12" s="22"/>
      <c r="O12" s="22"/>
    </row>
    <row r="13" spans="1:15" ht="30" x14ac:dyDescent="0.25">
      <c r="A13" s="22"/>
      <c r="B13" s="22"/>
      <c r="C13" s="21" t="s">
        <v>100</v>
      </c>
      <c r="D13" s="70" t="s">
        <v>104</v>
      </c>
      <c r="E13" s="70" t="s">
        <v>106</v>
      </c>
      <c r="F13" s="70" t="s">
        <v>123</v>
      </c>
      <c r="G13" s="22"/>
      <c r="H13" s="70" t="s">
        <v>108</v>
      </c>
      <c r="I13" s="70" t="s">
        <v>109</v>
      </c>
      <c r="J13" s="70" t="s">
        <v>110</v>
      </c>
      <c r="K13" s="70" t="s">
        <v>108</v>
      </c>
      <c r="L13" s="70" t="s">
        <v>109</v>
      </c>
      <c r="M13" s="70" t="s">
        <v>110</v>
      </c>
      <c r="N13" s="22"/>
      <c r="O13" s="22"/>
    </row>
    <row r="14" spans="1:15" ht="7.5" customHeight="1" x14ac:dyDescent="0.25">
      <c r="A14" s="22"/>
      <c r="B14" s="22"/>
      <c r="C14" s="22"/>
      <c r="D14" s="22"/>
      <c r="E14" s="22"/>
      <c r="F14" s="22"/>
      <c r="G14" s="22"/>
      <c r="H14" s="22"/>
      <c r="I14" s="22"/>
      <c r="J14" s="22"/>
      <c r="K14" s="22"/>
      <c r="L14" s="22"/>
      <c r="M14" s="22"/>
      <c r="N14" s="22"/>
      <c r="O14" s="22"/>
    </row>
    <row r="15" spans="1:15" x14ac:dyDescent="0.25">
      <c r="A15" s="22"/>
      <c r="B15" s="22"/>
      <c r="C15" s="22" t="s">
        <v>95</v>
      </c>
      <c r="D15" s="15">
        <v>20000000</v>
      </c>
      <c r="E15" s="16">
        <v>0.5</v>
      </c>
      <c r="F15" s="50">
        <f>D15*(1-E15)</f>
        <v>10000000</v>
      </c>
      <c r="G15" s="22"/>
      <c r="H15" s="16">
        <v>0.1</v>
      </c>
      <c r="I15" s="16">
        <v>0.25</v>
      </c>
      <c r="J15" s="16">
        <v>0.5</v>
      </c>
      <c r="K15" s="50">
        <f>$D15*(1-H15)</f>
        <v>18000000</v>
      </c>
      <c r="L15" s="50">
        <f t="shared" ref="L15:M19" si="0">$D15*(1-I15)</f>
        <v>15000000</v>
      </c>
      <c r="M15" s="50">
        <f t="shared" si="0"/>
        <v>10000000</v>
      </c>
      <c r="N15" s="22"/>
      <c r="O15" s="22"/>
    </row>
    <row r="16" spans="1:15" x14ac:dyDescent="0.25">
      <c r="A16" s="22"/>
      <c r="B16" s="22"/>
      <c r="C16" s="22" t="s">
        <v>96</v>
      </c>
      <c r="D16" s="15">
        <v>50000000</v>
      </c>
      <c r="E16" s="16">
        <v>0.5</v>
      </c>
      <c r="F16" s="50">
        <f t="shared" ref="F16:F19" si="1">D16*(1-E16)</f>
        <v>25000000</v>
      </c>
      <c r="G16" s="22"/>
      <c r="H16" s="16">
        <v>0.1</v>
      </c>
      <c r="I16" s="16">
        <v>0.25</v>
      </c>
      <c r="J16" s="16">
        <v>0.5</v>
      </c>
      <c r="K16" s="50">
        <f t="shared" ref="K16:K19" si="2">$D16*(1-H16)</f>
        <v>45000000</v>
      </c>
      <c r="L16" s="50">
        <f t="shared" si="0"/>
        <v>37500000</v>
      </c>
      <c r="M16" s="50">
        <f t="shared" si="0"/>
        <v>25000000</v>
      </c>
      <c r="N16" s="22"/>
      <c r="O16" s="22"/>
    </row>
    <row r="17" spans="1:15" x14ac:dyDescent="0.25">
      <c r="A17" s="22"/>
      <c r="B17" s="22"/>
      <c r="C17" s="22" t="s">
        <v>97</v>
      </c>
      <c r="D17" s="15">
        <v>30000000</v>
      </c>
      <c r="E17" s="16">
        <v>0.5</v>
      </c>
      <c r="F17" s="50">
        <f t="shared" si="1"/>
        <v>15000000</v>
      </c>
      <c r="G17" s="22"/>
      <c r="H17" s="16">
        <v>0.1</v>
      </c>
      <c r="I17" s="16">
        <v>0.25</v>
      </c>
      <c r="J17" s="16">
        <v>0.5</v>
      </c>
      <c r="K17" s="50">
        <f t="shared" si="2"/>
        <v>27000000</v>
      </c>
      <c r="L17" s="50">
        <f t="shared" si="0"/>
        <v>22500000</v>
      </c>
      <c r="M17" s="50">
        <f t="shared" si="0"/>
        <v>15000000</v>
      </c>
      <c r="N17" s="22"/>
      <c r="O17" s="22"/>
    </row>
    <row r="18" spans="1:15" x14ac:dyDescent="0.25">
      <c r="A18" s="22"/>
      <c r="B18" s="22"/>
      <c r="C18" s="22" t="s">
        <v>98</v>
      </c>
      <c r="D18" s="15">
        <v>10000000</v>
      </c>
      <c r="E18" s="16">
        <v>0.5</v>
      </c>
      <c r="F18" s="50">
        <f t="shared" si="1"/>
        <v>5000000</v>
      </c>
      <c r="G18" s="22"/>
      <c r="H18" s="16">
        <v>0.1</v>
      </c>
      <c r="I18" s="16">
        <v>0.25</v>
      </c>
      <c r="J18" s="16">
        <v>0.5</v>
      </c>
      <c r="K18" s="50">
        <f t="shared" si="2"/>
        <v>9000000</v>
      </c>
      <c r="L18" s="50">
        <f t="shared" si="0"/>
        <v>7500000</v>
      </c>
      <c r="M18" s="50">
        <f t="shared" si="0"/>
        <v>5000000</v>
      </c>
      <c r="N18" s="22"/>
      <c r="O18" s="22"/>
    </row>
    <row r="19" spans="1:15" x14ac:dyDescent="0.25">
      <c r="A19" s="22"/>
      <c r="B19" s="22"/>
      <c r="C19" s="77" t="s">
        <v>99</v>
      </c>
      <c r="D19" s="80">
        <v>15000000</v>
      </c>
      <c r="E19" s="79">
        <v>0.5</v>
      </c>
      <c r="F19" s="78">
        <f t="shared" si="1"/>
        <v>7500000</v>
      </c>
      <c r="G19" s="22"/>
      <c r="H19" s="79">
        <v>0.1</v>
      </c>
      <c r="I19" s="79">
        <v>0.25</v>
      </c>
      <c r="J19" s="79">
        <v>0.5</v>
      </c>
      <c r="K19" s="78">
        <f t="shared" si="2"/>
        <v>13500000</v>
      </c>
      <c r="L19" s="78">
        <f t="shared" si="0"/>
        <v>11250000</v>
      </c>
      <c r="M19" s="78">
        <f t="shared" si="0"/>
        <v>7500000</v>
      </c>
      <c r="N19" s="22"/>
      <c r="O19" s="22"/>
    </row>
    <row r="20" spans="1:15" x14ac:dyDescent="0.25">
      <c r="A20" s="22"/>
      <c r="B20" s="22"/>
      <c r="C20" s="75" t="s">
        <v>105</v>
      </c>
      <c r="D20" s="76">
        <f>SUM(D15:D19)</f>
        <v>125000000</v>
      </c>
      <c r="E20" s="75"/>
      <c r="F20" s="76">
        <f>SUM(F15:F19)</f>
        <v>62500000</v>
      </c>
      <c r="G20" s="22"/>
      <c r="H20" s="81"/>
      <c r="I20" s="81"/>
      <c r="J20" s="81"/>
      <c r="K20" s="76">
        <f t="shared" ref="K20:M20" si="3">SUM(K15:K19)</f>
        <v>112500000</v>
      </c>
      <c r="L20" s="76">
        <f t="shared" si="3"/>
        <v>93750000</v>
      </c>
      <c r="M20" s="76">
        <f t="shared" si="3"/>
        <v>62500000</v>
      </c>
      <c r="N20" s="22"/>
      <c r="O20" s="22"/>
    </row>
    <row r="21" spans="1:15" x14ac:dyDescent="0.25">
      <c r="C21" s="23" t="s">
        <v>111</v>
      </c>
      <c r="D21" s="24"/>
      <c r="E21" s="24"/>
      <c r="F21" s="24"/>
      <c r="G21" s="24"/>
      <c r="H21" s="24"/>
      <c r="I21" s="24"/>
      <c r="J21" s="24"/>
      <c r="K21" s="71">
        <f>K20-D20</f>
        <v>-12500000</v>
      </c>
      <c r="L21" s="71">
        <f>L20-D20</f>
        <v>-31250000</v>
      </c>
      <c r="M21" s="72">
        <f>M20-D20</f>
        <v>-62500000</v>
      </c>
    </row>
    <row r="22" spans="1:15" x14ac:dyDescent="0.25">
      <c r="C22" s="25" t="s">
        <v>112</v>
      </c>
      <c r="D22" s="26"/>
      <c r="E22" s="26"/>
      <c r="F22" s="26"/>
      <c r="G22" s="26"/>
      <c r="H22" s="26"/>
      <c r="I22" s="26"/>
      <c r="J22" s="26"/>
      <c r="K22" s="73">
        <f>SUM(K15:K19,-SUMPRODUCT(K15:K19,$E$15:$E$19))-$F$20</f>
        <v>-6250000</v>
      </c>
      <c r="L22" s="73">
        <f t="shared" ref="L22:M22" si="4">SUM(L15:L19,-SUMPRODUCT(L15:L19,$E$15:$E$19))-$F$20</f>
        <v>-15625000</v>
      </c>
      <c r="M22" s="74">
        <f t="shared" si="4"/>
        <v>-31250000</v>
      </c>
    </row>
    <row r="23" spans="1:15" x14ac:dyDescent="0.25">
      <c r="A23" s="22"/>
      <c r="B23" s="22"/>
      <c r="C23" s="22"/>
      <c r="D23" s="22"/>
      <c r="E23" s="22"/>
      <c r="F23" s="22"/>
      <c r="G23" s="22"/>
      <c r="H23" s="22"/>
      <c r="I23" s="22"/>
      <c r="J23" s="22"/>
      <c r="K23" s="22"/>
      <c r="L23" s="22"/>
      <c r="M23" s="22"/>
      <c r="N23" s="22"/>
    </row>
    <row r="24" spans="1:15" x14ac:dyDescent="0.25">
      <c r="A24" s="22"/>
      <c r="B24" s="22"/>
      <c r="C24" s="55" t="s">
        <v>180</v>
      </c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</row>
    <row r="25" spans="1:15" outlineLevel="1" x14ac:dyDescent="0.25">
      <c r="A25" s="22"/>
      <c r="B25" s="22"/>
      <c r="C25" s="22" t="s">
        <v>116</v>
      </c>
      <c r="D25" s="15">
        <v>22000000</v>
      </c>
      <c r="E25" s="22"/>
      <c r="F25" s="22"/>
      <c r="G25" s="22"/>
      <c r="H25" s="22"/>
      <c r="I25" s="22"/>
      <c r="J25" s="22"/>
      <c r="K25" s="50">
        <f>$D25</f>
        <v>22000000</v>
      </c>
      <c r="L25" s="50">
        <f t="shared" ref="L25:M25" si="5">$D25</f>
        <v>22000000</v>
      </c>
      <c r="M25" s="50">
        <f t="shared" si="5"/>
        <v>22000000</v>
      </c>
      <c r="N25" s="22"/>
    </row>
    <row r="26" spans="1:15" outlineLevel="1" x14ac:dyDescent="0.25">
      <c r="A26" s="22"/>
      <c r="B26" s="22"/>
      <c r="C26" s="77" t="s">
        <v>117</v>
      </c>
      <c r="D26" s="78">
        <f>D20*E26</f>
        <v>6250000</v>
      </c>
      <c r="E26" s="79">
        <v>0.05</v>
      </c>
      <c r="F26" s="22"/>
      <c r="G26" s="22"/>
      <c r="H26" s="22"/>
      <c r="I26" s="22"/>
      <c r="J26" s="22"/>
      <c r="K26" s="78">
        <f>$E26*K$20</f>
        <v>5625000</v>
      </c>
      <c r="L26" s="78">
        <f t="shared" ref="L26:M26" si="6">$E26*L$20</f>
        <v>4687500</v>
      </c>
      <c r="M26" s="78">
        <f t="shared" si="6"/>
        <v>3125000</v>
      </c>
      <c r="N26" s="22"/>
    </row>
    <row r="27" spans="1:15" x14ac:dyDescent="0.25">
      <c r="A27" s="22"/>
      <c r="B27" s="22"/>
      <c r="C27" s="82" t="s">
        <v>118</v>
      </c>
      <c r="D27" s="83">
        <f>SUM(D25:D26)</f>
        <v>28250000</v>
      </c>
      <c r="E27" s="82"/>
      <c r="F27" s="22"/>
      <c r="G27" s="22"/>
      <c r="H27" s="22"/>
      <c r="I27" s="22"/>
      <c r="J27" s="22"/>
      <c r="K27" s="83">
        <f>SUM(K25:K26)</f>
        <v>27625000</v>
      </c>
      <c r="L27" s="83">
        <f t="shared" ref="L27:M27" si="7">SUM(L25:L26)</f>
        <v>26687500</v>
      </c>
      <c r="M27" s="83">
        <f t="shared" si="7"/>
        <v>25125000</v>
      </c>
      <c r="N27" s="22"/>
    </row>
    <row r="28" spans="1:15" x14ac:dyDescent="0.25">
      <c r="A28" s="22"/>
      <c r="B28" s="22"/>
      <c r="C28" s="22"/>
      <c r="D28" s="22"/>
      <c r="E28" s="22"/>
      <c r="F28" s="22"/>
      <c r="G28" s="22"/>
      <c r="H28" s="22"/>
      <c r="I28" s="22"/>
      <c r="J28" s="22"/>
      <c r="K28" s="22"/>
      <c r="L28" s="22"/>
      <c r="M28" s="22"/>
      <c r="N28" s="22"/>
    </row>
    <row r="29" spans="1:15" x14ac:dyDescent="0.25">
      <c r="A29" s="22"/>
      <c r="B29" s="22"/>
      <c r="C29" s="55" t="s">
        <v>179</v>
      </c>
      <c r="D29" s="22"/>
      <c r="E29" s="22"/>
      <c r="F29" s="22"/>
      <c r="G29" s="22"/>
      <c r="H29" s="22"/>
      <c r="I29" s="22"/>
      <c r="J29" s="22"/>
      <c r="K29" s="22"/>
      <c r="L29" s="22"/>
      <c r="M29" s="22"/>
      <c r="N29" s="22"/>
    </row>
    <row r="30" spans="1:15" outlineLevel="1" x14ac:dyDescent="0.25">
      <c r="A30" s="22"/>
      <c r="B30" s="22"/>
      <c r="C30" s="22" t="s">
        <v>103</v>
      </c>
      <c r="D30" s="15">
        <v>6000000</v>
      </c>
      <c r="E30" s="22"/>
      <c r="F30" s="22"/>
      <c r="G30" s="22"/>
      <c r="H30" s="22"/>
      <c r="I30" s="22"/>
      <c r="J30" s="22"/>
      <c r="K30" s="50">
        <f t="shared" ref="K30:M41" si="8">$D30</f>
        <v>6000000</v>
      </c>
      <c r="L30" s="50">
        <f t="shared" si="8"/>
        <v>6000000</v>
      </c>
      <c r="M30" s="50">
        <f t="shared" si="8"/>
        <v>6000000</v>
      </c>
      <c r="N30" s="22"/>
    </row>
    <row r="31" spans="1:15" outlineLevel="1" x14ac:dyDescent="0.25">
      <c r="A31" s="22"/>
      <c r="B31" s="22"/>
      <c r="C31" s="22" t="s">
        <v>101</v>
      </c>
      <c r="D31" s="15">
        <v>3000000</v>
      </c>
      <c r="E31" s="22"/>
      <c r="F31" s="22"/>
      <c r="G31" s="22"/>
      <c r="H31" s="22"/>
      <c r="I31" s="22"/>
      <c r="J31" s="22"/>
      <c r="K31" s="50">
        <f t="shared" si="8"/>
        <v>3000000</v>
      </c>
      <c r="L31" s="50">
        <f t="shared" si="8"/>
        <v>3000000</v>
      </c>
      <c r="M31" s="50">
        <f t="shared" si="8"/>
        <v>3000000</v>
      </c>
      <c r="N31" s="22"/>
    </row>
    <row r="32" spans="1:15" outlineLevel="1" x14ac:dyDescent="0.25">
      <c r="A32" s="22"/>
      <c r="B32" s="22"/>
      <c r="C32" s="22" t="s">
        <v>144</v>
      </c>
      <c r="D32" s="15">
        <v>2000000</v>
      </c>
      <c r="E32" s="22"/>
      <c r="F32" s="22"/>
      <c r="G32" s="22"/>
      <c r="H32" s="22"/>
      <c r="I32" s="22"/>
      <c r="J32" s="22"/>
      <c r="K32" s="50">
        <f>$D32</f>
        <v>2000000</v>
      </c>
      <c r="L32" s="50">
        <f>$D32</f>
        <v>2000000</v>
      </c>
      <c r="M32" s="50">
        <f>$D32</f>
        <v>2000000</v>
      </c>
      <c r="N32" s="22"/>
    </row>
    <row r="33" spans="1:14" outlineLevel="1" x14ac:dyDescent="0.25">
      <c r="A33" s="22"/>
      <c r="B33" s="22"/>
      <c r="C33" s="22" t="s">
        <v>145</v>
      </c>
      <c r="D33" s="15">
        <v>500000</v>
      </c>
      <c r="E33" s="22"/>
      <c r="F33" s="22"/>
      <c r="G33" s="22"/>
      <c r="H33" s="22"/>
      <c r="I33" s="22"/>
      <c r="J33" s="22"/>
      <c r="K33" s="50">
        <f t="shared" si="8"/>
        <v>500000</v>
      </c>
      <c r="L33" s="50">
        <f t="shared" si="8"/>
        <v>500000</v>
      </c>
      <c r="M33" s="50">
        <f t="shared" si="8"/>
        <v>500000</v>
      </c>
      <c r="N33" s="22"/>
    </row>
    <row r="34" spans="1:14" outlineLevel="1" x14ac:dyDescent="0.25">
      <c r="A34" s="22"/>
      <c r="B34" s="22"/>
      <c r="C34" s="22" t="s">
        <v>102</v>
      </c>
      <c r="D34" s="15">
        <v>5000000</v>
      </c>
      <c r="E34" s="22"/>
      <c r="F34" s="22"/>
      <c r="G34" s="22"/>
      <c r="H34" s="22"/>
      <c r="I34" s="22"/>
      <c r="J34" s="22"/>
      <c r="K34" s="50">
        <f t="shared" si="8"/>
        <v>5000000</v>
      </c>
      <c r="L34" s="50">
        <f t="shared" si="8"/>
        <v>5000000</v>
      </c>
      <c r="M34" s="50">
        <f t="shared" si="8"/>
        <v>5000000</v>
      </c>
      <c r="N34" s="22"/>
    </row>
    <row r="35" spans="1:14" outlineLevel="1" x14ac:dyDescent="0.25">
      <c r="A35" s="22"/>
      <c r="B35" s="22"/>
      <c r="C35" s="22" t="s">
        <v>113</v>
      </c>
      <c r="D35" s="15">
        <v>1000000</v>
      </c>
      <c r="E35" s="22"/>
      <c r="F35" s="22"/>
      <c r="G35" s="22"/>
      <c r="H35" s="22"/>
      <c r="I35" s="22"/>
      <c r="J35" s="22"/>
      <c r="K35" s="50">
        <f t="shared" si="8"/>
        <v>1000000</v>
      </c>
      <c r="L35" s="50">
        <f t="shared" si="8"/>
        <v>1000000</v>
      </c>
      <c r="M35" s="50">
        <f t="shared" si="8"/>
        <v>1000000</v>
      </c>
      <c r="N35" s="22"/>
    </row>
    <row r="36" spans="1:14" outlineLevel="1" x14ac:dyDescent="0.25">
      <c r="A36" s="22"/>
      <c r="B36" s="22"/>
      <c r="C36" s="22" t="s">
        <v>114</v>
      </c>
      <c r="D36" s="15">
        <v>1000000</v>
      </c>
      <c r="E36" s="22"/>
      <c r="F36" s="22"/>
      <c r="G36" s="22"/>
      <c r="H36" s="22"/>
      <c r="I36" s="22"/>
      <c r="J36" s="22"/>
      <c r="K36" s="50">
        <f t="shared" si="8"/>
        <v>1000000</v>
      </c>
      <c r="L36" s="50">
        <f t="shared" si="8"/>
        <v>1000000</v>
      </c>
      <c r="M36" s="50">
        <f t="shared" si="8"/>
        <v>1000000</v>
      </c>
      <c r="N36" s="22"/>
    </row>
    <row r="37" spans="1:14" outlineLevel="1" x14ac:dyDescent="0.25">
      <c r="A37" s="22"/>
      <c r="B37" s="22"/>
      <c r="C37" s="22" t="s">
        <v>119</v>
      </c>
      <c r="D37" s="15">
        <v>1000000</v>
      </c>
      <c r="E37" s="22"/>
      <c r="F37" s="22"/>
      <c r="G37" s="22"/>
      <c r="H37" s="22"/>
      <c r="I37" s="22"/>
      <c r="J37" s="22"/>
      <c r="K37" s="50">
        <f t="shared" si="8"/>
        <v>1000000</v>
      </c>
      <c r="L37" s="50">
        <f t="shared" si="8"/>
        <v>1000000</v>
      </c>
      <c r="M37" s="50">
        <f t="shared" si="8"/>
        <v>1000000</v>
      </c>
      <c r="N37" s="22"/>
    </row>
    <row r="38" spans="1:14" outlineLevel="1" x14ac:dyDescent="0.25">
      <c r="A38" s="22"/>
      <c r="B38" s="22"/>
      <c r="C38" s="22" t="s">
        <v>143</v>
      </c>
      <c r="D38" s="15">
        <v>500000</v>
      </c>
      <c r="E38" s="22"/>
      <c r="F38" s="22"/>
      <c r="G38" s="22"/>
      <c r="H38" s="22"/>
      <c r="I38" s="22"/>
      <c r="J38" s="22"/>
      <c r="K38" s="50">
        <f t="shared" si="8"/>
        <v>500000</v>
      </c>
      <c r="L38" s="50">
        <f t="shared" si="8"/>
        <v>500000</v>
      </c>
      <c r="M38" s="50">
        <f t="shared" si="8"/>
        <v>500000</v>
      </c>
      <c r="N38" s="22"/>
    </row>
    <row r="39" spans="1:14" outlineLevel="1" x14ac:dyDescent="0.25">
      <c r="A39" s="22"/>
      <c r="B39" s="22"/>
      <c r="C39" s="22" t="s">
        <v>115</v>
      </c>
      <c r="D39" s="15">
        <v>5000000</v>
      </c>
      <c r="E39" s="22"/>
      <c r="F39" s="22"/>
      <c r="G39" s="22"/>
      <c r="H39" s="22"/>
      <c r="I39" s="22"/>
      <c r="J39" s="22"/>
      <c r="K39" s="50">
        <f t="shared" si="8"/>
        <v>5000000</v>
      </c>
      <c r="L39" s="50">
        <f t="shared" si="8"/>
        <v>5000000</v>
      </c>
      <c r="M39" s="50">
        <f t="shared" si="8"/>
        <v>5000000</v>
      </c>
      <c r="N39" s="22"/>
    </row>
    <row r="40" spans="1:14" outlineLevel="1" x14ac:dyDescent="0.25">
      <c r="A40" s="22"/>
      <c r="B40" s="22"/>
      <c r="C40" s="22" t="s">
        <v>115</v>
      </c>
      <c r="D40" s="15"/>
      <c r="E40" s="22"/>
      <c r="F40" s="22"/>
      <c r="G40" s="22"/>
      <c r="H40" s="22"/>
      <c r="I40" s="22"/>
      <c r="J40" s="22"/>
      <c r="K40" s="50">
        <f t="shared" si="8"/>
        <v>0</v>
      </c>
      <c r="L40" s="50">
        <f t="shared" si="8"/>
        <v>0</v>
      </c>
      <c r="M40" s="50">
        <f t="shared" si="8"/>
        <v>0</v>
      </c>
      <c r="N40" s="22"/>
    </row>
    <row r="41" spans="1:14" outlineLevel="1" x14ac:dyDescent="0.25">
      <c r="A41" s="22"/>
      <c r="B41" s="22"/>
      <c r="C41" s="22" t="s">
        <v>115</v>
      </c>
      <c r="D41" s="15"/>
      <c r="E41" s="22"/>
      <c r="F41" s="22"/>
      <c r="G41" s="22"/>
      <c r="H41" s="22"/>
      <c r="I41" s="22"/>
      <c r="J41" s="22"/>
      <c r="K41" s="50">
        <f t="shared" si="8"/>
        <v>0</v>
      </c>
      <c r="L41" s="50">
        <f t="shared" si="8"/>
        <v>0</v>
      </c>
      <c r="M41" s="50">
        <f t="shared" si="8"/>
        <v>0</v>
      </c>
      <c r="N41" s="22"/>
    </row>
    <row r="42" spans="1:14" outlineLevel="1" x14ac:dyDescent="0.25">
      <c r="A42" s="22"/>
      <c r="B42" s="22"/>
      <c r="C42" s="22" t="s">
        <v>120</v>
      </c>
      <c r="D42" s="50">
        <f>D20*E42</f>
        <v>1250000</v>
      </c>
      <c r="E42" s="16">
        <v>0.01</v>
      </c>
      <c r="F42" s="22"/>
      <c r="G42" s="22"/>
      <c r="H42" s="22"/>
      <c r="I42" s="22"/>
      <c r="J42" s="22"/>
      <c r="K42" s="50">
        <f t="shared" ref="K42:M43" si="9">$E42*K$20</f>
        <v>1125000</v>
      </c>
      <c r="L42" s="50">
        <f t="shared" si="9"/>
        <v>937500</v>
      </c>
      <c r="M42" s="50">
        <f t="shared" si="9"/>
        <v>625000</v>
      </c>
      <c r="N42" s="22"/>
    </row>
    <row r="43" spans="1:14" outlineLevel="1" x14ac:dyDescent="0.25">
      <c r="A43" s="22"/>
      <c r="B43" s="22"/>
      <c r="C43" s="77" t="s">
        <v>120</v>
      </c>
      <c r="D43" s="78">
        <f>D20*E43</f>
        <v>0</v>
      </c>
      <c r="E43" s="79">
        <v>0</v>
      </c>
      <c r="F43" s="22"/>
      <c r="G43" s="22"/>
      <c r="H43" s="22"/>
      <c r="I43" s="22"/>
      <c r="J43" s="22"/>
      <c r="K43" s="78">
        <f t="shared" si="9"/>
        <v>0</v>
      </c>
      <c r="L43" s="78">
        <f t="shared" si="9"/>
        <v>0</v>
      </c>
      <c r="M43" s="78">
        <f t="shared" si="9"/>
        <v>0</v>
      </c>
      <c r="N43" s="22"/>
    </row>
    <row r="44" spans="1:14" x14ac:dyDescent="0.25">
      <c r="A44" s="22"/>
      <c r="B44" s="22"/>
      <c r="C44" s="75" t="s">
        <v>121</v>
      </c>
      <c r="D44" s="76">
        <f>SUM(D30:D43)</f>
        <v>26250000</v>
      </c>
      <c r="E44" s="75"/>
      <c r="F44" s="22"/>
      <c r="G44" s="22"/>
      <c r="H44" s="22"/>
      <c r="I44" s="22"/>
      <c r="J44" s="22"/>
      <c r="K44" s="76">
        <f>SUM(K30:K43)</f>
        <v>26125000</v>
      </c>
      <c r="L44" s="76">
        <f>SUM(L30:L43)</f>
        <v>25937500</v>
      </c>
      <c r="M44" s="76">
        <f>SUM(M30:M43)</f>
        <v>25625000</v>
      </c>
      <c r="N44" s="22"/>
    </row>
    <row r="45" spans="1:14" x14ac:dyDescent="0.25">
      <c r="A45" s="22"/>
      <c r="B45" s="22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</row>
    <row r="46" spans="1:14" x14ac:dyDescent="0.25">
      <c r="A46" s="22"/>
      <c r="B46" s="22"/>
      <c r="C46" s="55" t="s">
        <v>135</v>
      </c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</row>
    <row r="47" spans="1:14" outlineLevel="1" x14ac:dyDescent="0.25">
      <c r="A47" s="22"/>
      <c r="B47" s="22"/>
      <c r="C47" s="22" t="s">
        <v>136</v>
      </c>
      <c r="D47" s="15">
        <v>1000000</v>
      </c>
      <c r="E47" s="22"/>
      <c r="F47" s="22"/>
      <c r="G47" s="22"/>
      <c r="H47" s="22"/>
      <c r="I47" s="22"/>
      <c r="J47" s="22"/>
      <c r="K47" s="50">
        <f>$D47</f>
        <v>1000000</v>
      </c>
      <c r="L47" s="50">
        <f t="shared" ref="L47:M48" si="10">$D47</f>
        <v>1000000</v>
      </c>
      <c r="M47" s="50">
        <f t="shared" si="10"/>
        <v>1000000</v>
      </c>
      <c r="N47" s="22"/>
    </row>
    <row r="48" spans="1:14" outlineLevel="1" x14ac:dyDescent="0.25">
      <c r="A48" s="22"/>
      <c r="B48" s="22"/>
      <c r="C48" s="22" t="s">
        <v>139</v>
      </c>
      <c r="D48" s="15"/>
      <c r="E48" s="22"/>
      <c r="F48" s="22"/>
      <c r="G48" s="22"/>
      <c r="H48" s="22"/>
      <c r="I48" s="22"/>
      <c r="J48" s="22"/>
      <c r="K48" s="50">
        <f>$D48</f>
        <v>0</v>
      </c>
      <c r="L48" s="50">
        <f t="shared" si="10"/>
        <v>0</v>
      </c>
      <c r="M48" s="50">
        <f t="shared" si="10"/>
        <v>0</v>
      </c>
      <c r="N48" s="22"/>
    </row>
    <row r="49" spans="1:19" outlineLevel="1" x14ac:dyDescent="0.25">
      <c r="A49" s="22"/>
      <c r="B49" s="22"/>
      <c r="C49" s="77" t="s">
        <v>137</v>
      </c>
      <c r="D49" s="78">
        <f>F20*E49</f>
        <v>1250000</v>
      </c>
      <c r="E49" s="79">
        <v>0.02</v>
      </c>
      <c r="F49" s="22"/>
      <c r="G49" s="22"/>
      <c r="H49" s="22"/>
      <c r="I49" s="22"/>
      <c r="J49" s="22"/>
      <c r="K49" s="78">
        <f>$E49*SUM(K15:K19,-SUMPRODUCT(K15:K19,$E$15:$E$19))</f>
        <v>1125000</v>
      </c>
      <c r="L49" s="78">
        <f>$E49*SUM(L15:L19,-SUMPRODUCT(L15:L19,$E$15:$E$19))</f>
        <v>937500</v>
      </c>
      <c r="M49" s="78">
        <f>$E49*SUM(M15:M19,-SUMPRODUCT(M15:M19,$E$15:$E$19))</f>
        <v>625000</v>
      </c>
      <c r="N49" s="22"/>
    </row>
    <row r="50" spans="1:19" x14ac:dyDescent="0.25">
      <c r="A50" s="22"/>
      <c r="B50" s="22"/>
      <c r="C50" s="75" t="s">
        <v>138</v>
      </c>
      <c r="D50" s="76">
        <f>SUM(D47:D49)</f>
        <v>2250000</v>
      </c>
      <c r="E50" s="75"/>
      <c r="F50" s="22"/>
      <c r="G50" s="22"/>
      <c r="H50" s="22"/>
      <c r="I50" s="22"/>
      <c r="J50" s="22"/>
      <c r="K50" s="76">
        <f>SUM(K47:K49)</f>
        <v>2125000</v>
      </c>
      <c r="L50" s="76">
        <f t="shared" ref="L50" si="11">SUM(L47:L49)</f>
        <v>1937500</v>
      </c>
      <c r="M50" s="76">
        <f t="shared" ref="M50" si="12">SUM(M47:M49)</f>
        <v>1625000</v>
      </c>
      <c r="N50" s="22"/>
    </row>
    <row r="51" spans="1:19" x14ac:dyDescent="0.25">
      <c r="A51" s="22"/>
      <c r="B51" s="22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</row>
    <row r="52" spans="1:19" x14ac:dyDescent="0.25">
      <c r="A52" s="22"/>
      <c r="B52" s="22"/>
      <c r="C52" s="17" t="s">
        <v>122</v>
      </c>
      <c r="D52" s="18"/>
      <c r="E52" s="18"/>
      <c r="F52" s="19">
        <f>F20-D27-D44-D50</f>
        <v>5750000</v>
      </c>
      <c r="G52" s="18"/>
      <c r="H52" s="18"/>
      <c r="I52" s="18"/>
      <c r="J52" s="18"/>
      <c r="K52" s="19">
        <f>SUM(K15:K19,-SUMPRODUCT(K15:K19,$E$15:$E$19))-K27-K44-K50</f>
        <v>375000</v>
      </c>
      <c r="L52" s="19">
        <f>SUM(L15:L19,-SUMPRODUCT(L15:L19,$E$15:$E$19))-L27-L44-L50</f>
        <v>-7687500</v>
      </c>
      <c r="M52" s="20">
        <f>SUM(M15:M19,-SUMPRODUCT(M15:M19,$E$15:$E$19))-M27-M44-M50</f>
        <v>-21125000</v>
      </c>
      <c r="N52" s="22"/>
    </row>
    <row r="53" spans="1:19" x14ac:dyDescent="0.25">
      <c r="A53" s="22"/>
      <c r="B53" s="22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</row>
    <row r="54" spans="1:19" x14ac:dyDescent="0.25">
      <c r="A54" s="22"/>
      <c r="B54" s="22"/>
      <c r="C54" s="22" t="s">
        <v>124</v>
      </c>
      <c r="D54" s="22"/>
      <c r="E54" s="22"/>
      <c r="F54" s="15">
        <v>3000000</v>
      </c>
      <c r="G54" s="22"/>
      <c r="H54" s="22"/>
      <c r="I54" s="22"/>
      <c r="J54" s="22"/>
      <c r="K54" s="22"/>
      <c r="L54" s="22"/>
      <c r="M54" s="22"/>
      <c r="N54" s="22"/>
    </row>
    <row r="55" spans="1:19" x14ac:dyDescent="0.25">
      <c r="A55" s="22"/>
      <c r="B55" s="22"/>
      <c r="C55" s="22" t="s">
        <v>125</v>
      </c>
      <c r="D55" s="22"/>
      <c r="E55" s="22"/>
      <c r="F55" s="15">
        <v>-3000000</v>
      </c>
      <c r="G55" s="22"/>
      <c r="H55" s="22"/>
      <c r="I55" s="22"/>
      <c r="J55" s="22"/>
      <c r="K55" s="22"/>
      <c r="L55" s="22"/>
      <c r="M55" s="22"/>
      <c r="N55" s="22"/>
    </row>
    <row r="57" spans="1:19" x14ac:dyDescent="0.25">
      <c r="B57" s="59"/>
      <c r="C57" s="60"/>
      <c r="D57" s="60"/>
      <c r="E57" s="60"/>
      <c r="F57" s="60"/>
      <c r="G57" s="60"/>
      <c r="H57" s="60"/>
      <c r="I57" s="60"/>
      <c r="J57" s="60"/>
      <c r="K57" s="187" t="s">
        <v>133</v>
      </c>
      <c r="L57" s="187"/>
      <c r="M57" s="187"/>
      <c r="N57" s="28"/>
      <c r="P57" s="188" t="s">
        <v>134</v>
      </c>
      <c r="Q57" s="189"/>
      <c r="R57" s="189"/>
      <c r="S57" s="190"/>
    </row>
    <row r="58" spans="1:19" x14ac:dyDescent="0.25">
      <c r="B58" s="61"/>
      <c r="C58" s="62"/>
      <c r="D58" s="62"/>
      <c r="E58" s="62"/>
      <c r="F58" s="62"/>
      <c r="G58" s="62"/>
      <c r="H58" s="62"/>
      <c r="I58" s="62"/>
      <c r="J58" s="62"/>
      <c r="K58" s="69" t="s">
        <v>108</v>
      </c>
      <c r="L58" s="69" t="s">
        <v>109</v>
      </c>
      <c r="M58" s="69" t="s">
        <v>110</v>
      </c>
      <c r="N58" s="29"/>
      <c r="P58" s="191"/>
      <c r="Q58" s="192"/>
      <c r="R58" s="192"/>
      <c r="S58" s="193"/>
    </row>
    <row r="59" spans="1:19" x14ac:dyDescent="0.25">
      <c r="B59" s="61"/>
      <c r="C59" s="63" t="s">
        <v>132</v>
      </c>
      <c r="D59" s="62"/>
      <c r="E59" s="62"/>
      <c r="F59" s="62"/>
      <c r="G59" s="62"/>
      <c r="H59" s="62"/>
      <c r="I59" s="64"/>
      <c r="J59" s="65" t="s">
        <v>131</v>
      </c>
      <c r="K59" s="49">
        <f>1-K20/$D$20</f>
        <v>9.9999999999999978E-2</v>
      </c>
      <c r="L59" s="49">
        <f>1-L20/$D$20</f>
        <v>0.25</v>
      </c>
      <c r="M59" s="49">
        <f>1-M20/$D$20</f>
        <v>0.5</v>
      </c>
      <c r="N59" s="29"/>
      <c r="P59" s="191"/>
      <c r="Q59" s="192"/>
      <c r="R59" s="192"/>
      <c r="S59" s="193"/>
    </row>
    <row r="60" spans="1:19" x14ac:dyDescent="0.25">
      <c r="B60" s="61"/>
      <c r="C60" s="62" t="s">
        <v>126</v>
      </c>
      <c r="D60" s="62"/>
      <c r="E60" s="62"/>
      <c r="F60" s="66">
        <f>F54</f>
        <v>3000000</v>
      </c>
      <c r="G60" s="62"/>
      <c r="H60" s="62"/>
      <c r="I60" s="62"/>
      <c r="J60" s="62"/>
      <c r="K60" s="31">
        <f>-MIN(K$52-$F60,0)</f>
        <v>2625000</v>
      </c>
      <c r="L60" s="32">
        <f t="shared" ref="L60:M64" si="13">-MIN(L$52-$F60,0)</f>
        <v>10687500</v>
      </c>
      <c r="M60" s="33">
        <f t="shared" si="13"/>
        <v>24125000</v>
      </c>
      <c r="N60" s="29"/>
      <c r="P60" s="191"/>
      <c r="Q60" s="192"/>
      <c r="R60" s="192"/>
      <c r="S60" s="193"/>
    </row>
    <row r="61" spans="1:19" x14ac:dyDescent="0.25">
      <c r="B61" s="61"/>
      <c r="C61" s="62" t="s">
        <v>128</v>
      </c>
      <c r="D61" s="62"/>
      <c r="E61" s="62"/>
      <c r="F61" s="66">
        <f>F60-($F$54-$F$55)/4</f>
        <v>1500000</v>
      </c>
      <c r="G61" s="62"/>
      <c r="H61" s="62"/>
      <c r="I61" s="62"/>
      <c r="J61" s="62"/>
      <c r="K61" s="34">
        <f t="shared" ref="K61:K64" si="14">-MIN(K$52-$F61,0)</f>
        <v>1125000</v>
      </c>
      <c r="L61" s="35">
        <f t="shared" si="13"/>
        <v>9187500</v>
      </c>
      <c r="M61" s="36">
        <f t="shared" si="13"/>
        <v>22625000</v>
      </c>
      <c r="N61" s="29"/>
      <c r="P61" s="191"/>
      <c r="Q61" s="192"/>
      <c r="R61" s="192"/>
      <c r="S61" s="193"/>
    </row>
    <row r="62" spans="1:19" x14ac:dyDescent="0.25">
      <c r="B62" s="61"/>
      <c r="C62" s="62" t="s">
        <v>129</v>
      </c>
      <c r="D62" s="62"/>
      <c r="E62" s="62"/>
      <c r="F62" s="66">
        <f>F61-($F$54-$F$55)/4</f>
        <v>0</v>
      </c>
      <c r="G62" s="62"/>
      <c r="H62" s="62"/>
      <c r="I62" s="62"/>
      <c r="J62" s="62"/>
      <c r="K62" s="34">
        <f t="shared" si="14"/>
        <v>0</v>
      </c>
      <c r="L62" s="35">
        <f t="shared" si="13"/>
        <v>7687500</v>
      </c>
      <c r="M62" s="36">
        <f t="shared" si="13"/>
        <v>21125000</v>
      </c>
      <c r="N62" s="29"/>
      <c r="P62" s="191"/>
      <c r="Q62" s="192"/>
      <c r="R62" s="192"/>
      <c r="S62" s="193"/>
    </row>
    <row r="63" spans="1:19" x14ac:dyDescent="0.25">
      <c r="B63" s="61"/>
      <c r="C63" s="62" t="s">
        <v>130</v>
      </c>
      <c r="D63" s="62"/>
      <c r="E63" s="62"/>
      <c r="F63" s="66">
        <f>F62-($F$54-$F$55)/4</f>
        <v>-1500000</v>
      </c>
      <c r="G63" s="62"/>
      <c r="H63" s="62"/>
      <c r="I63" s="62"/>
      <c r="J63" s="62"/>
      <c r="K63" s="34">
        <f t="shared" si="14"/>
        <v>0</v>
      </c>
      <c r="L63" s="35">
        <f t="shared" si="13"/>
        <v>6187500</v>
      </c>
      <c r="M63" s="36">
        <f t="shared" si="13"/>
        <v>19625000</v>
      </c>
      <c r="N63" s="29"/>
      <c r="P63" s="194"/>
      <c r="Q63" s="195"/>
      <c r="R63" s="195"/>
      <c r="S63" s="196"/>
    </row>
    <row r="64" spans="1:19" x14ac:dyDescent="0.25">
      <c r="B64" s="61"/>
      <c r="C64" s="62" t="s">
        <v>127</v>
      </c>
      <c r="D64" s="62"/>
      <c r="E64" s="62"/>
      <c r="F64" s="66">
        <f>F55</f>
        <v>-3000000</v>
      </c>
      <c r="G64" s="62"/>
      <c r="H64" s="62"/>
      <c r="I64" s="62"/>
      <c r="J64" s="62"/>
      <c r="K64" s="37">
        <f t="shared" si="14"/>
        <v>0</v>
      </c>
      <c r="L64" s="38">
        <f t="shared" si="13"/>
        <v>4687500</v>
      </c>
      <c r="M64" s="39">
        <f t="shared" si="13"/>
        <v>18125000</v>
      </c>
      <c r="N64" s="29"/>
    </row>
    <row r="65" spans="2:14" x14ac:dyDescent="0.25">
      <c r="B65" s="61"/>
      <c r="C65" s="62"/>
      <c r="D65" s="62"/>
      <c r="E65" s="62"/>
      <c r="F65" s="66"/>
      <c r="G65" s="62"/>
      <c r="H65" s="62"/>
      <c r="I65" s="62"/>
      <c r="J65" s="62"/>
      <c r="K65" s="40">
        <f t="shared" ref="K65:M69" si="15">K60/SUM(K$27,K$44)</f>
        <v>4.8837209302325581E-2</v>
      </c>
      <c r="L65" s="41">
        <f t="shared" si="15"/>
        <v>0.20308788598574823</v>
      </c>
      <c r="M65" s="42">
        <f t="shared" si="15"/>
        <v>0.47536945812807879</v>
      </c>
      <c r="N65" s="29"/>
    </row>
    <row r="66" spans="2:14" x14ac:dyDescent="0.25">
      <c r="B66" s="61"/>
      <c r="C66" s="62"/>
      <c r="D66" s="62"/>
      <c r="E66" s="62"/>
      <c r="F66" s="66"/>
      <c r="G66" s="62"/>
      <c r="H66" s="62"/>
      <c r="I66" s="62"/>
      <c r="J66" s="62"/>
      <c r="K66" s="43">
        <f t="shared" si="15"/>
        <v>2.0930232558139535E-2</v>
      </c>
      <c r="L66" s="44">
        <f t="shared" si="15"/>
        <v>0.17458432304038005</v>
      </c>
      <c r="M66" s="45">
        <f t="shared" si="15"/>
        <v>0.44581280788177341</v>
      </c>
      <c r="N66" s="29"/>
    </row>
    <row r="67" spans="2:14" x14ac:dyDescent="0.25">
      <c r="B67" s="61"/>
      <c r="C67" s="62"/>
      <c r="D67" s="62"/>
      <c r="E67" s="62"/>
      <c r="F67" s="66"/>
      <c r="G67" s="62"/>
      <c r="H67" s="62"/>
      <c r="I67" s="62"/>
      <c r="J67" s="62"/>
      <c r="K67" s="43">
        <f t="shared" si="15"/>
        <v>0</v>
      </c>
      <c r="L67" s="44">
        <f t="shared" si="15"/>
        <v>0.14608076009501186</v>
      </c>
      <c r="M67" s="45">
        <f t="shared" si="15"/>
        <v>0.41625615763546797</v>
      </c>
      <c r="N67" s="29"/>
    </row>
    <row r="68" spans="2:14" x14ac:dyDescent="0.25">
      <c r="B68" s="61"/>
      <c r="C68" s="62"/>
      <c r="D68" s="62"/>
      <c r="E68" s="62"/>
      <c r="F68" s="66"/>
      <c r="G68" s="62"/>
      <c r="H68" s="62"/>
      <c r="I68" s="62"/>
      <c r="J68" s="62"/>
      <c r="K68" s="43">
        <f t="shared" si="15"/>
        <v>0</v>
      </c>
      <c r="L68" s="44">
        <f t="shared" si="15"/>
        <v>0.11757719714964371</v>
      </c>
      <c r="M68" s="45">
        <f t="shared" si="15"/>
        <v>0.38669950738916259</v>
      </c>
      <c r="N68" s="29"/>
    </row>
    <row r="69" spans="2:14" x14ac:dyDescent="0.25">
      <c r="B69" s="61"/>
      <c r="C69" s="62"/>
      <c r="D69" s="62"/>
      <c r="E69" s="62"/>
      <c r="F69" s="66"/>
      <c r="G69" s="62"/>
      <c r="H69" s="62"/>
      <c r="I69" s="62"/>
      <c r="J69" s="62"/>
      <c r="K69" s="46">
        <f t="shared" si="15"/>
        <v>0</v>
      </c>
      <c r="L69" s="47">
        <f t="shared" si="15"/>
        <v>8.907363420427554E-2</v>
      </c>
      <c r="M69" s="48">
        <f t="shared" si="15"/>
        <v>0.35714285714285715</v>
      </c>
      <c r="N69" s="29"/>
    </row>
    <row r="70" spans="2:14" x14ac:dyDescent="0.25">
      <c r="B70" s="67"/>
      <c r="C70" s="68"/>
      <c r="D70" s="68"/>
      <c r="E70" s="68"/>
      <c r="F70" s="68"/>
      <c r="G70" s="68"/>
      <c r="H70" s="68"/>
      <c r="I70" s="68"/>
      <c r="J70" s="68"/>
      <c r="K70" s="27"/>
      <c r="L70" s="27"/>
      <c r="M70" s="27"/>
      <c r="N70" s="30"/>
    </row>
  </sheetData>
  <mergeCells count="4">
    <mergeCell ref="C2:M10"/>
    <mergeCell ref="H12:M12"/>
    <mergeCell ref="K57:M57"/>
    <mergeCell ref="P57:S63"/>
  </mergeCells>
  <pageMargins left="0.7" right="0.7" top="0.75" bottom="0.75" header="0.3" footer="0.3"/>
  <drawing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X56"/>
  <sheetViews>
    <sheetView showGridLines="0" workbookViewId="0">
      <selection activeCell="B2" sqref="B2:P10"/>
    </sheetView>
  </sheetViews>
  <sheetFormatPr defaultRowHeight="15" outlineLevelRow="1" x14ac:dyDescent="0.25"/>
  <cols>
    <col min="1" max="1" width="4.7109375" style="22" customWidth="1"/>
    <col min="2" max="2" width="31.42578125" style="22" bestFit="1" customWidth="1"/>
    <col min="3" max="4" width="12.28515625" style="22" customWidth="1"/>
    <col min="5" max="5" width="13.85546875" style="22" customWidth="1"/>
    <col min="6" max="6" width="3.140625" style="22" customWidth="1"/>
    <col min="7" max="8" width="10.85546875" style="22" customWidth="1"/>
    <col min="9" max="10" width="9.7109375" style="22" customWidth="1"/>
    <col min="11" max="11" width="15.42578125" style="22" customWidth="1"/>
    <col min="12" max="12" width="9.28515625" style="22" customWidth="1"/>
    <col min="13" max="13" width="3.140625" style="22" customWidth="1"/>
    <col min="14" max="14" width="12.42578125" style="22" customWidth="1"/>
    <col min="15" max="16" width="11.28515625" style="101" customWidth="1"/>
    <col min="17" max="16384" width="9.140625" style="22"/>
  </cols>
  <sheetData>
    <row r="2" spans="2:24" customFormat="1" ht="18" customHeight="1" outlineLevel="1" x14ac:dyDescent="0.25">
      <c r="B2" s="184" t="s">
        <v>178</v>
      </c>
      <c r="C2" s="184"/>
      <c r="D2" s="184"/>
      <c r="E2" s="184"/>
      <c r="F2" s="184"/>
      <c r="G2" s="184"/>
      <c r="H2" s="184"/>
      <c r="I2" s="184"/>
      <c r="J2" s="184"/>
      <c r="K2" s="184"/>
      <c r="L2" s="184"/>
      <c r="M2" s="184"/>
      <c r="N2" s="184"/>
      <c r="O2" s="184"/>
      <c r="P2" s="184"/>
      <c r="Q2" s="22"/>
      <c r="R2" s="22"/>
      <c r="S2" s="22"/>
      <c r="T2" s="22"/>
      <c r="U2" s="22"/>
      <c r="V2" s="22"/>
      <c r="W2" s="22"/>
      <c r="X2" s="22"/>
    </row>
    <row r="3" spans="2:24" customFormat="1" ht="18" customHeight="1" outlineLevel="1" x14ac:dyDescent="0.25">
      <c r="B3" s="184"/>
      <c r="C3" s="184"/>
      <c r="D3" s="184"/>
      <c r="E3" s="184"/>
      <c r="F3" s="184"/>
      <c r="G3" s="184"/>
      <c r="H3" s="184"/>
      <c r="I3" s="184"/>
      <c r="J3" s="184"/>
      <c r="K3" s="184"/>
      <c r="L3" s="184"/>
      <c r="M3" s="184"/>
      <c r="N3" s="184"/>
      <c r="O3" s="184"/>
      <c r="P3" s="184"/>
      <c r="Q3" s="22"/>
      <c r="R3" s="22"/>
      <c r="S3" s="22"/>
      <c r="T3" s="22"/>
      <c r="U3" s="22"/>
      <c r="V3" s="22"/>
      <c r="W3" s="22"/>
      <c r="X3" s="22"/>
    </row>
    <row r="4" spans="2:24" customFormat="1" ht="18" customHeight="1" outlineLevel="1" x14ac:dyDescent="0.25">
      <c r="B4" s="184"/>
      <c r="C4" s="184"/>
      <c r="D4" s="184"/>
      <c r="E4" s="184"/>
      <c r="F4" s="184"/>
      <c r="G4" s="184"/>
      <c r="H4" s="184"/>
      <c r="I4" s="184"/>
      <c r="J4" s="184"/>
      <c r="K4" s="184"/>
      <c r="L4" s="184"/>
      <c r="M4" s="184"/>
      <c r="N4" s="184"/>
      <c r="O4" s="184"/>
      <c r="P4" s="184"/>
      <c r="Q4" s="22"/>
      <c r="R4" s="22"/>
      <c r="S4" s="22"/>
      <c r="T4" s="22"/>
      <c r="U4" s="22"/>
      <c r="V4" s="22"/>
      <c r="W4" s="22"/>
      <c r="X4" s="22"/>
    </row>
    <row r="5" spans="2:24" customFormat="1" ht="18" customHeight="1" outlineLevel="1" x14ac:dyDescent="0.25">
      <c r="B5" s="184"/>
      <c r="C5" s="184"/>
      <c r="D5" s="184"/>
      <c r="E5" s="184"/>
      <c r="F5" s="184"/>
      <c r="G5" s="184"/>
      <c r="H5" s="184"/>
      <c r="I5" s="184"/>
      <c r="J5" s="184"/>
      <c r="K5" s="184"/>
      <c r="L5" s="184"/>
      <c r="M5" s="184"/>
      <c r="N5" s="184"/>
      <c r="O5" s="184"/>
      <c r="P5" s="184"/>
      <c r="Q5" s="22"/>
      <c r="R5" s="22"/>
      <c r="S5" s="22"/>
      <c r="T5" s="22"/>
      <c r="U5" s="22"/>
      <c r="V5" s="22"/>
      <c r="W5" s="22"/>
      <c r="X5" s="22"/>
    </row>
    <row r="6" spans="2:24" customFormat="1" ht="18" customHeight="1" outlineLevel="1" x14ac:dyDescent="0.25">
      <c r="B6" s="184"/>
      <c r="C6" s="184"/>
      <c r="D6" s="184"/>
      <c r="E6" s="184"/>
      <c r="F6" s="184"/>
      <c r="G6" s="184"/>
      <c r="H6" s="184"/>
      <c r="I6" s="184"/>
      <c r="J6" s="184"/>
      <c r="K6" s="184"/>
      <c r="L6" s="184"/>
      <c r="M6" s="184"/>
      <c r="N6" s="184"/>
      <c r="O6" s="184"/>
      <c r="P6" s="184"/>
      <c r="Q6" s="22"/>
      <c r="R6" s="22"/>
      <c r="S6" s="22"/>
      <c r="T6" s="22"/>
      <c r="U6" s="22"/>
      <c r="V6" s="22"/>
      <c r="W6" s="22"/>
      <c r="X6" s="22"/>
    </row>
    <row r="7" spans="2:24" customFormat="1" ht="18" customHeight="1" outlineLevel="1" x14ac:dyDescent="0.25">
      <c r="B7" s="184"/>
      <c r="C7" s="184"/>
      <c r="D7" s="184"/>
      <c r="E7" s="184"/>
      <c r="F7" s="184"/>
      <c r="G7" s="184"/>
      <c r="H7" s="184"/>
      <c r="I7" s="184"/>
      <c r="J7" s="184"/>
      <c r="K7" s="184"/>
      <c r="L7" s="184"/>
      <c r="M7" s="184"/>
      <c r="N7" s="184"/>
      <c r="O7" s="184"/>
      <c r="P7" s="184"/>
      <c r="Q7" s="22"/>
      <c r="R7" s="22"/>
      <c r="S7" s="22"/>
      <c r="T7" s="22"/>
      <c r="U7" s="22"/>
      <c r="V7" s="22"/>
      <c r="W7" s="22"/>
      <c r="X7" s="22"/>
    </row>
    <row r="8" spans="2:24" customFormat="1" ht="18" customHeight="1" outlineLevel="1" x14ac:dyDescent="0.25">
      <c r="B8" s="184"/>
      <c r="C8" s="184"/>
      <c r="D8" s="184"/>
      <c r="E8" s="184"/>
      <c r="F8" s="184"/>
      <c r="G8" s="184"/>
      <c r="H8" s="184"/>
      <c r="I8" s="184"/>
      <c r="J8" s="184"/>
      <c r="K8" s="184"/>
      <c r="L8" s="184"/>
      <c r="M8" s="184"/>
      <c r="N8" s="184"/>
      <c r="O8" s="184"/>
      <c r="P8" s="184"/>
      <c r="Q8" s="22"/>
      <c r="R8" s="22"/>
      <c r="S8" s="22"/>
      <c r="T8" s="22"/>
      <c r="U8" s="22"/>
      <c r="V8" s="22"/>
      <c r="W8" s="22"/>
      <c r="X8" s="22"/>
    </row>
    <row r="9" spans="2:24" customFormat="1" ht="18" customHeight="1" outlineLevel="1" x14ac:dyDescent="0.25">
      <c r="B9" s="184"/>
      <c r="C9" s="184"/>
      <c r="D9" s="184"/>
      <c r="E9" s="184"/>
      <c r="F9" s="184"/>
      <c r="G9" s="184"/>
      <c r="H9" s="184"/>
      <c r="I9" s="184"/>
      <c r="J9" s="184"/>
      <c r="K9" s="184"/>
      <c r="L9" s="184"/>
      <c r="M9" s="184"/>
      <c r="N9" s="184"/>
      <c r="O9" s="184"/>
      <c r="P9" s="184"/>
      <c r="Q9" s="22"/>
      <c r="R9" s="22"/>
      <c r="S9" s="22"/>
      <c r="T9" s="22"/>
      <c r="U9" s="22"/>
      <c r="V9" s="22"/>
      <c r="W9" s="22"/>
      <c r="X9" s="22"/>
    </row>
    <row r="10" spans="2:24" customFormat="1" ht="18" customHeight="1" outlineLevel="1" x14ac:dyDescent="0.25">
      <c r="B10" s="184"/>
      <c r="C10" s="184"/>
      <c r="D10" s="184"/>
      <c r="E10" s="184"/>
      <c r="F10" s="184"/>
      <c r="G10" s="184"/>
      <c r="H10" s="184"/>
      <c r="I10" s="184"/>
      <c r="J10" s="184"/>
      <c r="K10" s="184"/>
      <c r="L10" s="184"/>
      <c r="M10" s="184"/>
      <c r="N10" s="184"/>
      <c r="O10" s="184"/>
      <c r="P10" s="184"/>
      <c r="Q10" s="22"/>
      <c r="R10" s="22"/>
      <c r="S10" s="22"/>
      <c r="T10" s="22"/>
      <c r="U10" s="22"/>
      <c r="V10" s="22"/>
      <c r="W10" s="22"/>
      <c r="X10" s="22"/>
    </row>
    <row r="12" spans="2:24" x14ac:dyDescent="0.25">
      <c r="B12" s="173" t="s">
        <v>141</v>
      </c>
      <c r="C12" s="198">
        <f>'01_ktgcsökk_célszám'!D20</f>
        <v>125000000</v>
      </c>
      <c r="D12" s="198"/>
    </row>
    <row r="13" spans="2:24" ht="6.75" customHeight="1" x14ac:dyDescent="0.25">
      <c r="C13" s="89"/>
      <c r="D13" s="89"/>
    </row>
    <row r="14" spans="2:24" ht="26.25" x14ac:dyDescent="0.25">
      <c r="B14" s="55" t="s">
        <v>157</v>
      </c>
      <c r="C14" s="90" t="s">
        <v>159</v>
      </c>
      <c r="D14" s="89"/>
    </row>
    <row r="15" spans="2:24" x14ac:dyDescent="0.25">
      <c r="B15" s="92" t="s">
        <v>160</v>
      </c>
      <c r="C15" s="93">
        <v>0</v>
      </c>
      <c r="D15" s="91" t="s">
        <v>169</v>
      </c>
      <c r="E15" s="91"/>
      <c r="F15" s="91"/>
      <c r="G15" s="91"/>
      <c r="H15" s="91"/>
      <c r="I15" s="91"/>
      <c r="J15" s="91"/>
      <c r="K15" s="91"/>
      <c r="L15" s="91"/>
      <c r="M15" s="91"/>
      <c r="N15" s="91"/>
      <c r="O15" s="91"/>
      <c r="P15" s="91"/>
    </row>
    <row r="16" spans="2:24" x14ac:dyDescent="0.25">
      <c r="B16" s="94" t="s">
        <v>158</v>
      </c>
      <c r="C16" s="95">
        <v>0.05</v>
      </c>
      <c r="D16" s="91" t="s">
        <v>162</v>
      </c>
      <c r="E16" s="91"/>
      <c r="F16" s="91"/>
      <c r="G16" s="91"/>
      <c r="H16" s="91"/>
      <c r="I16" s="91"/>
      <c r="J16" s="91"/>
      <c r="K16" s="91"/>
      <c r="L16" s="91"/>
      <c r="M16" s="91"/>
      <c r="N16" s="91"/>
      <c r="O16" s="91"/>
      <c r="P16" s="91"/>
    </row>
    <row r="17" spans="2:16" x14ac:dyDescent="0.25">
      <c r="B17" s="96" t="s">
        <v>170</v>
      </c>
      <c r="C17" s="95">
        <v>0.3</v>
      </c>
      <c r="D17" s="91" t="s">
        <v>164</v>
      </c>
      <c r="E17" s="91"/>
      <c r="F17" s="91"/>
      <c r="G17" s="91"/>
      <c r="H17" s="91"/>
      <c r="I17" s="91"/>
      <c r="J17" s="91"/>
      <c r="K17" s="91"/>
      <c r="L17" s="91"/>
      <c r="M17" s="91"/>
      <c r="N17" s="91"/>
      <c r="O17" s="91"/>
      <c r="P17" s="91"/>
    </row>
    <row r="18" spans="2:16" x14ac:dyDescent="0.25">
      <c r="B18" s="97" t="s">
        <v>161</v>
      </c>
      <c r="C18" s="98">
        <v>0.7</v>
      </c>
      <c r="D18" s="91" t="s">
        <v>163</v>
      </c>
    </row>
    <row r="19" spans="2:16" x14ac:dyDescent="0.25">
      <c r="C19" s="89"/>
      <c r="D19" s="89"/>
    </row>
    <row r="20" spans="2:16" x14ac:dyDescent="0.25">
      <c r="G20" s="197" t="s">
        <v>147</v>
      </c>
      <c r="H20" s="197"/>
      <c r="I20" s="87"/>
      <c r="J20" s="87"/>
    </row>
    <row r="21" spans="2:16" ht="36.75" x14ac:dyDescent="0.25">
      <c r="B21" s="85" t="s">
        <v>140</v>
      </c>
      <c r="C21" s="85" t="s">
        <v>146</v>
      </c>
      <c r="D21" s="85" t="s">
        <v>151</v>
      </c>
      <c r="E21" s="85" t="s">
        <v>150</v>
      </c>
      <c r="F21" s="85"/>
      <c r="G21" s="88" t="s">
        <v>155</v>
      </c>
      <c r="H21" s="88" t="s">
        <v>156</v>
      </c>
      <c r="I21" s="86" t="s">
        <v>152</v>
      </c>
      <c r="J21" s="86" t="s">
        <v>153</v>
      </c>
      <c r="K21" s="85" t="s">
        <v>154</v>
      </c>
      <c r="L21" s="99" t="s">
        <v>172</v>
      </c>
      <c r="M21" s="85"/>
      <c r="N21" s="85" t="s">
        <v>174</v>
      </c>
      <c r="O21" s="99" t="s">
        <v>173</v>
      </c>
      <c r="P21" s="99" t="s">
        <v>171</v>
      </c>
    </row>
    <row r="22" spans="2:16" x14ac:dyDescent="0.25">
      <c r="B22" s="22" t="s">
        <v>148</v>
      </c>
      <c r="C22" s="15">
        <v>5000</v>
      </c>
      <c r="D22" s="15">
        <v>200</v>
      </c>
      <c r="E22" s="84">
        <f>C22*D22</f>
        <v>1000000</v>
      </c>
      <c r="G22" s="16">
        <v>0.25</v>
      </c>
      <c r="H22" s="16">
        <v>0.1</v>
      </c>
      <c r="I22" s="84">
        <f>C22*(1-G22)</f>
        <v>3750</v>
      </c>
      <c r="J22" s="84">
        <f>D22*(1-H22)</f>
        <v>180</v>
      </c>
      <c r="K22" s="84">
        <f>I22*J22</f>
        <v>675000</v>
      </c>
      <c r="L22" s="100">
        <f>IFERROR(1-K22/E22,0)</f>
        <v>0.32499999999999996</v>
      </c>
      <c r="N22" s="108" t="s">
        <v>160</v>
      </c>
      <c r="O22" s="102">
        <f>IFERROR(VLOOKUP(N22,$B$15:$C$18,2,0),0)*E22</f>
        <v>0</v>
      </c>
      <c r="P22" s="102">
        <f>E22-K22</f>
        <v>325000</v>
      </c>
    </row>
    <row r="23" spans="2:16" x14ac:dyDescent="0.25">
      <c r="B23" s="22" t="s">
        <v>149</v>
      </c>
      <c r="C23" s="15">
        <v>5000</v>
      </c>
      <c r="D23" s="15">
        <v>200</v>
      </c>
      <c r="E23" s="84">
        <f>C23*D23</f>
        <v>1000000</v>
      </c>
      <c r="G23" s="16">
        <v>0.25</v>
      </c>
      <c r="H23" s="16">
        <v>0.1</v>
      </c>
      <c r="I23" s="84">
        <f>C23*(1-G23)</f>
        <v>3750</v>
      </c>
      <c r="J23" s="84">
        <f>D23*(1-H23)</f>
        <v>180</v>
      </c>
      <c r="K23" s="84">
        <f>I23*J23</f>
        <v>675000</v>
      </c>
      <c r="L23" s="100">
        <f t="shared" ref="L23:L46" si="0">IFERROR(1-K23/E23,0)</f>
        <v>0.32499999999999996</v>
      </c>
      <c r="N23" s="108" t="s">
        <v>160</v>
      </c>
      <c r="O23" s="102">
        <f t="shared" ref="O23:O46" si="1">IFERROR(VLOOKUP(N23,$B$15:$C$18,2,0),0)*E23</f>
        <v>0</v>
      </c>
      <c r="P23" s="102">
        <f t="shared" ref="P23:P46" si="2">E23-K23</f>
        <v>325000</v>
      </c>
    </row>
    <row r="24" spans="2:16" x14ac:dyDescent="0.25">
      <c r="B24" s="22" t="s">
        <v>102</v>
      </c>
      <c r="C24" s="15"/>
      <c r="D24" s="15"/>
      <c r="E24" s="84">
        <f t="shared" ref="E24:E46" si="3">C24*D24</f>
        <v>0</v>
      </c>
      <c r="G24" s="16">
        <v>0.25</v>
      </c>
      <c r="H24" s="16">
        <v>0.1</v>
      </c>
      <c r="I24" s="84">
        <f t="shared" ref="I24:I46" si="4">C24*(1-G24)</f>
        <v>0</v>
      </c>
      <c r="J24" s="84">
        <f t="shared" ref="J24:J46" si="5">D24*(1-H24)</f>
        <v>0</v>
      </c>
      <c r="K24" s="84">
        <f t="shared" ref="K24:K46" si="6">I24*J24</f>
        <v>0</v>
      </c>
      <c r="L24" s="100">
        <f t="shared" si="0"/>
        <v>0</v>
      </c>
      <c r="N24" s="108" t="s">
        <v>160</v>
      </c>
      <c r="O24" s="102">
        <f t="shared" si="1"/>
        <v>0</v>
      </c>
      <c r="P24" s="102">
        <f t="shared" si="2"/>
        <v>0</v>
      </c>
    </row>
    <row r="25" spans="2:16" x14ac:dyDescent="0.25">
      <c r="B25" s="22" t="s">
        <v>103</v>
      </c>
      <c r="C25" s="15"/>
      <c r="D25" s="15"/>
      <c r="E25" s="84">
        <f t="shared" si="3"/>
        <v>0</v>
      </c>
      <c r="G25" s="16">
        <v>0.25</v>
      </c>
      <c r="H25" s="16">
        <v>0.1</v>
      </c>
      <c r="I25" s="84">
        <f t="shared" si="4"/>
        <v>0</v>
      </c>
      <c r="J25" s="84">
        <f t="shared" si="5"/>
        <v>0</v>
      </c>
      <c r="K25" s="84">
        <f t="shared" si="6"/>
        <v>0</v>
      </c>
      <c r="L25" s="100">
        <f t="shared" si="0"/>
        <v>0</v>
      </c>
      <c r="N25" s="108" t="s">
        <v>160</v>
      </c>
      <c r="O25" s="102">
        <f t="shared" si="1"/>
        <v>0</v>
      </c>
      <c r="P25" s="102">
        <f t="shared" si="2"/>
        <v>0</v>
      </c>
    </row>
    <row r="26" spans="2:16" x14ac:dyDescent="0.25">
      <c r="B26" s="22" t="s">
        <v>144</v>
      </c>
      <c r="C26" s="15"/>
      <c r="D26" s="15"/>
      <c r="E26" s="84">
        <f t="shared" si="3"/>
        <v>0</v>
      </c>
      <c r="G26" s="16">
        <v>0.25</v>
      </c>
      <c r="H26" s="16">
        <v>0.1</v>
      </c>
      <c r="I26" s="84">
        <f t="shared" si="4"/>
        <v>0</v>
      </c>
      <c r="J26" s="84">
        <f t="shared" si="5"/>
        <v>0</v>
      </c>
      <c r="K26" s="84">
        <f t="shared" si="6"/>
        <v>0</v>
      </c>
      <c r="L26" s="100">
        <f t="shared" si="0"/>
        <v>0</v>
      </c>
      <c r="N26" s="108" t="s">
        <v>160</v>
      </c>
      <c r="O26" s="102">
        <f t="shared" si="1"/>
        <v>0</v>
      </c>
      <c r="P26" s="102">
        <f t="shared" si="2"/>
        <v>0</v>
      </c>
    </row>
    <row r="27" spans="2:16" x14ac:dyDescent="0.25">
      <c r="B27" s="22" t="s">
        <v>113</v>
      </c>
      <c r="C27" s="15"/>
      <c r="D27" s="15"/>
      <c r="E27" s="84">
        <f t="shared" si="3"/>
        <v>0</v>
      </c>
      <c r="G27" s="16">
        <v>0.25</v>
      </c>
      <c r="H27" s="16">
        <v>0.1</v>
      </c>
      <c r="I27" s="84">
        <f t="shared" si="4"/>
        <v>0</v>
      </c>
      <c r="J27" s="84">
        <f t="shared" si="5"/>
        <v>0</v>
      </c>
      <c r="K27" s="84">
        <f t="shared" si="6"/>
        <v>0</v>
      </c>
      <c r="L27" s="100">
        <f t="shared" si="0"/>
        <v>0</v>
      </c>
      <c r="N27" s="108" t="s">
        <v>160</v>
      </c>
      <c r="O27" s="102">
        <f t="shared" si="1"/>
        <v>0</v>
      </c>
      <c r="P27" s="102">
        <f t="shared" si="2"/>
        <v>0</v>
      </c>
    </row>
    <row r="28" spans="2:16" x14ac:dyDescent="0.25">
      <c r="B28" s="22" t="s">
        <v>114</v>
      </c>
      <c r="C28" s="15"/>
      <c r="D28" s="15"/>
      <c r="E28" s="84">
        <f t="shared" si="3"/>
        <v>0</v>
      </c>
      <c r="G28" s="16">
        <v>0.25</v>
      </c>
      <c r="H28" s="16">
        <v>0.1</v>
      </c>
      <c r="I28" s="84">
        <f t="shared" si="4"/>
        <v>0</v>
      </c>
      <c r="J28" s="84">
        <f t="shared" si="5"/>
        <v>0</v>
      </c>
      <c r="K28" s="84">
        <f t="shared" si="6"/>
        <v>0</v>
      </c>
      <c r="L28" s="100">
        <f t="shared" si="0"/>
        <v>0</v>
      </c>
      <c r="N28" s="108" t="s">
        <v>160</v>
      </c>
      <c r="O28" s="102">
        <f t="shared" si="1"/>
        <v>0</v>
      </c>
      <c r="P28" s="102">
        <f t="shared" si="2"/>
        <v>0</v>
      </c>
    </row>
    <row r="29" spans="2:16" x14ac:dyDescent="0.25">
      <c r="B29" s="22" t="s">
        <v>165</v>
      </c>
      <c r="C29" s="15"/>
      <c r="D29" s="15"/>
      <c r="E29" s="84">
        <f t="shared" si="3"/>
        <v>0</v>
      </c>
      <c r="G29" s="16">
        <v>0.25</v>
      </c>
      <c r="H29" s="16">
        <v>0.1</v>
      </c>
      <c r="I29" s="84">
        <f t="shared" si="4"/>
        <v>0</v>
      </c>
      <c r="J29" s="84">
        <f t="shared" si="5"/>
        <v>0</v>
      </c>
      <c r="K29" s="84">
        <f t="shared" si="6"/>
        <v>0</v>
      </c>
      <c r="L29" s="100">
        <f t="shared" si="0"/>
        <v>0</v>
      </c>
      <c r="N29" s="108" t="s">
        <v>160</v>
      </c>
      <c r="O29" s="102">
        <f t="shared" si="1"/>
        <v>0</v>
      </c>
      <c r="P29" s="102">
        <f t="shared" si="2"/>
        <v>0</v>
      </c>
    </row>
    <row r="30" spans="2:16" x14ac:dyDescent="0.25">
      <c r="B30" s="22" t="s">
        <v>166</v>
      </c>
      <c r="C30" s="15"/>
      <c r="D30" s="15"/>
      <c r="E30" s="84">
        <f t="shared" si="3"/>
        <v>0</v>
      </c>
      <c r="G30" s="16">
        <v>0.25</v>
      </c>
      <c r="H30" s="16">
        <v>0.1</v>
      </c>
      <c r="I30" s="84">
        <f t="shared" si="4"/>
        <v>0</v>
      </c>
      <c r="J30" s="84">
        <f t="shared" si="5"/>
        <v>0</v>
      </c>
      <c r="K30" s="84">
        <f t="shared" si="6"/>
        <v>0</v>
      </c>
      <c r="L30" s="100">
        <f t="shared" si="0"/>
        <v>0</v>
      </c>
      <c r="N30" s="108" t="s">
        <v>160</v>
      </c>
      <c r="O30" s="102">
        <f t="shared" si="1"/>
        <v>0</v>
      </c>
      <c r="P30" s="102">
        <f t="shared" si="2"/>
        <v>0</v>
      </c>
    </row>
    <row r="31" spans="2:16" x14ac:dyDescent="0.25">
      <c r="B31" s="22" t="s">
        <v>167</v>
      </c>
      <c r="C31" s="15"/>
      <c r="D31" s="15"/>
      <c r="E31" s="84">
        <f t="shared" si="3"/>
        <v>0</v>
      </c>
      <c r="G31" s="16">
        <v>0.25</v>
      </c>
      <c r="H31" s="16">
        <v>0.1</v>
      </c>
      <c r="I31" s="84">
        <f t="shared" si="4"/>
        <v>0</v>
      </c>
      <c r="J31" s="84">
        <f t="shared" si="5"/>
        <v>0</v>
      </c>
      <c r="K31" s="84">
        <f t="shared" si="6"/>
        <v>0</v>
      </c>
      <c r="L31" s="100">
        <f t="shared" si="0"/>
        <v>0</v>
      </c>
      <c r="N31" s="108" t="s">
        <v>160</v>
      </c>
      <c r="O31" s="102">
        <f t="shared" si="1"/>
        <v>0</v>
      </c>
      <c r="P31" s="102">
        <f t="shared" si="2"/>
        <v>0</v>
      </c>
    </row>
    <row r="32" spans="2:16" x14ac:dyDescent="0.25">
      <c r="B32" s="22" t="s">
        <v>168</v>
      </c>
      <c r="C32" s="15"/>
      <c r="D32" s="15"/>
      <c r="E32" s="84">
        <f t="shared" si="3"/>
        <v>0</v>
      </c>
      <c r="G32" s="16">
        <v>0.25</v>
      </c>
      <c r="H32" s="16">
        <v>0.1</v>
      </c>
      <c r="I32" s="84">
        <f t="shared" si="4"/>
        <v>0</v>
      </c>
      <c r="J32" s="84">
        <f t="shared" si="5"/>
        <v>0</v>
      </c>
      <c r="K32" s="84">
        <f t="shared" si="6"/>
        <v>0</v>
      </c>
      <c r="L32" s="100">
        <f t="shared" si="0"/>
        <v>0</v>
      </c>
      <c r="N32" s="108" t="s">
        <v>160</v>
      </c>
      <c r="O32" s="102">
        <f t="shared" si="1"/>
        <v>0</v>
      </c>
      <c r="P32" s="102">
        <f t="shared" si="2"/>
        <v>0</v>
      </c>
    </row>
    <row r="33" spans="2:16" x14ac:dyDescent="0.25">
      <c r="B33" s="22" t="s">
        <v>60</v>
      </c>
      <c r="C33" s="15"/>
      <c r="D33" s="15"/>
      <c r="E33" s="84">
        <f t="shared" si="3"/>
        <v>0</v>
      </c>
      <c r="G33" s="16">
        <v>0.25</v>
      </c>
      <c r="H33" s="16">
        <v>0.1</v>
      </c>
      <c r="I33" s="84">
        <f t="shared" si="4"/>
        <v>0</v>
      </c>
      <c r="J33" s="84">
        <f t="shared" si="5"/>
        <v>0</v>
      </c>
      <c r="K33" s="84">
        <f t="shared" si="6"/>
        <v>0</v>
      </c>
      <c r="L33" s="100">
        <f t="shared" si="0"/>
        <v>0</v>
      </c>
      <c r="N33" s="108" t="s">
        <v>160</v>
      </c>
      <c r="O33" s="102">
        <f t="shared" si="1"/>
        <v>0</v>
      </c>
      <c r="P33" s="102">
        <f t="shared" si="2"/>
        <v>0</v>
      </c>
    </row>
    <row r="34" spans="2:16" x14ac:dyDescent="0.25">
      <c r="B34" s="22" t="s">
        <v>60</v>
      </c>
      <c r="C34" s="15"/>
      <c r="D34" s="15"/>
      <c r="E34" s="84">
        <f t="shared" si="3"/>
        <v>0</v>
      </c>
      <c r="G34" s="16">
        <v>0.25</v>
      </c>
      <c r="H34" s="16">
        <v>0.1</v>
      </c>
      <c r="I34" s="84">
        <f t="shared" si="4"/>
        <v>0</v>
      </c>
      <c r="J34" s="84">
        <f t="shared" si="5"/>
        <v>0</v>
      </c>
      <c r="K34" s="84">
        <f t="shared" si="6"/>
        <v>0</v>
      </c>
      <c r="L34" s="100">
        <f t="shared" si="0"/>
        <v>0</v>
      </c>
      <c r="N34" s="108" t="s">
        <v>160</v>
      </c>
      <c r="O34" s="102">
        <f t="shared" si="1"/>
        <v>0</v>
      </c>
      <c r="P34" s="102">
        <f t="shared" si="2"/>
        <v>0</v>
      </c>
    </row>
    <row r="35" spans="2:16" x14ac:dyDescent="0.25">
      <c r="B35" s="22" t="s">
        <v>60</v>
      </c>
      <c r="C35" s="15"/>
      <c r="D35" s="15"/>
      <c r="E35" s="84">
        <f t="shared" ref="E35:E37" si="7">C35*D35</f>
        <v>0</v>
      </c>
      <c r="G35" s="16">
        <v>0.25</v>
      </c>
      <c r="H35" s="16">
        <v>0.1</v>
      </c>
      <c r="I35" s="84">
        <f t="shared" ref="I35:I37" si="8">C35*(1-G35)</f>
        <v>0</v>
      </c>
      <c r="J35" s="84">
        <f t="shared" ref="J35:J37" si="9">D35*(1-H35)</f>
        <v>0</v>
      </c>
      <c r="K35" s="84">
        <f t="shared" ref="K35:K37" si="10">I35*J35</f>
        <v>0</v>
      </c>
      <c r="L35" s="100">
        <f t="shared" ref="L35:L37" si="11">IFERROR(1-K35/E35,0)</f>
        <v>0</v>
      </c>
      <c r="N35" s="108" t="s">
        <v>160</v>
      </c>
      <c r="O35" s="102">
        <f t="shared" ref="O35:O37" si="12">IFERROR(VLOOKUP(N35,$B$15:$C$18,2,0),0)*E35</f>
        <v>0</v>
      </c>
      <c r="P35" s="102">
        <f t="shared" ref="P35:P37" si="13">E35-K35</f>
        <v>0</v>
      </c>
    </row>
    <row r="36" spans="2:16" x14ac:dyDescent="0.25">
      <c r="B36" s="22" t="s">
        <v>60</v>
      </c>
      <c r="C36" s="15"/>
      <c r="D36" s="15"/>
      <c r="E36" s="84">
        <f t="shared" si="7"/>
        <v>0</v>
      </c>
      <c r="G36" s="16">
        <v>0.25</v>
      </c>
      <c r="H36" s="16">
        <v>0.1</v>
      </c>
      <c r="I36" s="84">
        <f t="shared" si="8"/>
        <v>0</v>
      </c>
      <c r="J36" s="84">
        <f t="shared" si="9"/>
        <v>0</v>
      </c>
      <c r="K36" s="84">
        <f t="shared" si="10"/>
        <v>0</v>
      </c>
      <c r="L36" s="100">
        <f t="shared" si="11"/>
        <v>0</v>
      </c>
      <c r="N36" s="108" t="s">
        <v>160</v>
      </c>
      <c r="O36" s="102">
        <f t="shared" si="12"/>
        <v>0</v>
      </c>
      <c r="P36" s="102">
        <f t="shared" si="13"/>
        <v>0</v>
      </c>
    </row>
    <row r="37" spans="2:16" x14ac:dyDescent="0.25">
      <c r="B37" s="22" t="s">
        <v>60</v>
      </c>
      <c r="C37" s="15"/>
      <c r="D37" s="15"/>
      <c r="E37" s="84">
        <f t="shared" si="7"/>
        <v>0</v>
      </c>
      <c r="G37" s="16">
        <v>0.25</v>
      </c>
      <c r="H37" s="16">
        <v>0.1</v>
      </c>
      <c r="I37" s="84">
        <f t="shared" si="8"/>
        <v>0</v>
      </c>
      <c r="J37" s="84">
        <f t="shared" si="9"/>
        <v>0</v>
      </c>
      <c r="K37" s="84">
        <f t="shared" si="10"/>
        <v>0</v>
      </c>
      <c r="L37" s="100">
        <f t="shared" si="11"/>
        <v>0</v>
      </c>
      <c r="N37" s="108" t="s">
        <v>160</v>
      </c>
      <c r="O37" s="102">
        <f t="shared" si="12"/>
        <v>0</v>
      </c>
      <c r="P37" s="102">
        <f t="shared" si="13"/>
        <v>0</v>
      </c>
    </row>
    <row r="38" spans="2:16" x14ac:dyDescent="0.25">
      <c r="B38" s="22" t="s">
        <v>60</v>
      </c>
      <c r="C38" s="15"/>
      <c r="D38" s="15"/>
      <c r="E38" s="84">
        <f t="shared" si="3"/>
        <v>0</v>
      </c>
      <c r="G38" s="16">
        <v>0.25</v>
      </c>
      <c r="H38" s="16">
        <v>0.1</v>
      </c>
      <c r="I38" s="84">
        <f t="shared" si="4"/>
        <v>0</v>
      </c>
      <c r="J38" s="84">
        <f t="shared" si="5"/>
        <v>0</v>
      </c>
      <c r="K38" s="84">
        <f t="shared" si="6"/>
        <v>0</v>
      </c>
      <c r="L38" s="100">
        <f t="shared" si="0"/>
        <v>0</v>
      </c>
      <c r="N38" s="108" t="s">
        <v>160</v>
      </c>
      <c r="O38" s="102">
        <f t="shared" si="1"/>
        <v>0</v>
      </c>
      <c r="P38" s="102">
        <f t="shared" si="2"/>
        <v>0</v>
      </c>
    </row>
    <row r="39" spans="2:16" x14ac:dyDescent="0.25">
      <c r="B39" s="22" t="s">
        <v>60</v>
      </c>
      <c r="C39" s="15"/>
      <c r="D39" s="15"/>
      <c r="E39" s="84">
        <f t="shared" ref="E39" si="14">C39*D39</f>
        <v>0</v>
      </c>
      <c r="G39" s="16">
        <v>0.25</v>
      </c>
      <c r="H39" s="16">
        <v>0.1</v>
      </c>
      <c r="I39" s="84">
        <f t="shared" ref="I39" si="15">C39*(1-G39)</f>
        <v>0</v>
      </c>
      <c r="J39" s="84">
        <f t="shared" ref="J39" si="16">D39*(1-H39)</f>
        <v>0</v>
      </c>
      <c r="K39" s="84">
        <f t="shared" ref="K39" si="17">I39*J39</f>
        <v>0</v>
      </c>
      <c r="L39" s="100">
        <f t="shared" ref="L39" si="18">IFERROR(1-K39/E39,0)</f>
        <v>0</v>
      </c>
      <c r="N39" s="108" t="s">
        <v>160</v>
      </c>
      <c r="O39" s="102">
        <f t="shared" ref="O39" si="19">IFERROR(VLOOKUP(N39,$B$15:$C$18,2,0),0)*E39</f>
        <v>0</v>
      </c>
      <c r="P39" s="102">
        <f t="shared" ref="P39" si="20">E39-K39</f>
        <v>0</v>
      </c>
    </row>
    <row r="40" spans="2:16" x14ac:dyDescent="0.25">
      <c r="B40" s="22" t="s">
        <v>60</v>
      </c>
      <c r="C40" s="15"/>
      <c r="D40" s="15"/>
      <c r="E40" s="84">
        <f t="shared" ref="E40:E42" si="21">C40*D40</f>
        <v>0</v>
      </c>
      <c r="G40" s="16">
        <v>0.25</v>
      </c>
      <c r="H40" s="16">
        <v>0.1</v>
      </c>
      <c r="I40" s="84">
        <f t="shared" ref="I40:I42" si="22">C40*(1-G40)</f>
        <v>0</v>
      </c>
      <c r="J40" s="84">
        <f t="shared" ref="J40:J42" si="23">D40*(1-H40)</f>
        <v>0</v>
      </c>
      <c r="K40" s="84">
        <f t="shared" ref="K40:K42" si="24">I40*J40</f>
        <v>0</v>
      </c>
      <c r="L40" s="100">
        <f t="shared" ref="L40:L42" si="25">IFERROR(1-K40/E40,0)</f>
        <v>0</v>
      </c>
      <c r="N40" s="108" t="s">
        <v>160</v>
      </c>
      <c r="O40" s="102">
        <f t="shared" ref="O40:O42" si="26">IFERROR(VLOOKUP(N40,$B$15:$C$18,2,0),0)*E40</f>
        <v>0</v>
      </c>
      <c r="P40" s="102">
        <f t="shared" ref="P40:P42" si="27">E40-K40</f>
        <v>0</v>
      </c>
    </row>
    <row r="41" spans="2:16" x14ac:dyDescent="0.25">
      <c r="B41" s="22" t="s">
        <v>60</v>
      </c>
      <c r="C41" s="15"/>
      <c r="D41" s="15"/>
      <c r="E41" s="84">
        <f t="shared" si="21"/>
        <v>0</v>
      </c>
      <c r="G41" s="16">
        <v>0.25</v>
      </c>
      <c r="H41" s="16">
        <v>0.1</v>
      </c>
      <c r="I41" s="84">
        <f t="shared" si="22"/>
        <v>0</v>
      </c>
      <c r="J41" s="84">
        <f t="shared" si="23"/>
        <v>0</v>
      </c>
      <c r="K41" s="84">
        <f t="shared" si="24"/>
        <v>0</v>
      </c>
      <c r="L41" s="100">
        <f t="shared" si="25"/>
        <v>0</v>
      </c>
      <c r="N41" s="108" t="s">
        <v>160</v>
      </c>
      <c r="O41" s="102">
        <f t="shared" si="26"/>
        <v>0</v>
      </c>
      <c r="P41" s="102">
        <f t="shared" si="27"/>
        <v>0</v>
      </c>
    </row>
    <row r="42" spans="2:16" x14ac:dyDescent="0.25">
      <c r="B42" s="22" t="s">
        <v>60</v>
      </c>
      <c r="C42" s="15"/>
      <c r="D42" s="15"/>
      <c r="E42" s="84">
        <f t="shared" si="21"/>
        <v>0</v>
      </c>
      <c r="G42" s="16">
        <v>0.25</v>
      </c>
      <c r="H42" s="16">
        <v>0.1</v>
      </c>
      <c r="I42" s="84">
        <f t="shared" si="22"/>
        <v>0</v>
      </c>
      <c r="J42" s="84">
        <f t="shared" si="23"/>
        <v>0</v>
      </c>
      <c r="K42" s="84">
        <f t="shared" si="24"/>
        <v>0</v>
      </c>
      <c r="L42" s="100">
        <f t="shared" si="25"/>
        <v>0</v>
      </c>
      <c r="N42" s="108" t="s">
        <v>160</v>
      </c>
      <c r="O42" s="102">
        <f t="shared" si="26"/>
        <v>0</v>
      </c>
      <c r="P42" s="102">
        <f t="shared" si="27"/>
        <v>0</v>
      </c>
    </row>
    <row r="43" spans="2:16" x14ac:dyDescent="0.25">
      <c r="B43" s="22" t="s">
        <v>60</v>
      </c>
      <c r="C43" s="15"/>
      <c r="D43" s="15"/>
      <c r="E43" s="84">
        <f t="shared" si="3"/>
        <v>0</v>
      </c>
      <c r="G43" s="16">
        <v>0.25</v>
      </c>
      <c r="H43" s="16">
        <v>0.1</v>
      </c>
      <c r="I43" s="84">
        <f t="shared" si="4"/>
        <v>0</v>
      </c>
      <c r="J43" s="84">
        <f t="shared" si="5"/>
        <v>0</v>
      </c>
      <c r="K43" s="84">
        <f t="shared" si="6"/>
        <v>0</v>
      </c>
      <c r="L43" s="100">
        <f t="shared" si="0"/>
        <v>0</v>
      </c>
      <c r="N43" s="108" t="s">
        <v>160</v>
      </c>
      <c r="O43" s="102">
        <f t="shared" si="1"/>
        <v>0</v>
      </c>
      <c r="P43" s="102">
        <f t="shared" si="2"/>
        <v>0</v>
      </c>
    </row>
    <row r="44" spans="2:16" x14ac:dyDescent="0.25">
      <c r="B44" s="22" t="s">
        <v>60</v>
      </c>
      <c r="C44" s="15"/>
      <c r="D44" s="15"/>
      <c r="E44" s="84">
        <f t="shared" si="3"/>
        <v>0</v>
      </c>
      <c r="G44" s="16">
        <v>0.25</v>
      </c>
      <c r="H44" s="16">
        <v>0.1</v>
      </c>
      <c r="I44" s="84">
        <f t="shared" si="4"/>
        <v>0</v>
      </c>
      <c r="J44" s="84">
        <f t="shared" si="5"/>
        <v>0</v>
      </c>
      <c r="K44" s="84">
        <f t="shared" si="6"/>
        <v>0</v>
      </c>
      <c r="L44" s="100">
        <f t="shared" si="0"/>
        <v>0</v>
      </c>
      <c r="N44" s="108" t="s">
        <v>160</v>
      </c>
      <c r="O44" s="102">
        <f t="shared" si="1"/>
        <v>0</v>
      </c>
      <c r="P44" s="102">
        <f t="shared" si="2"/>
        <v>0</v>
      </c>
    </row>
    <row r="45" spans="2:16" x14ac:dyDescent="0.25">
      <c r="B45" s="22" t="s">
        <v>60</v>
      </c>
      <c r="C45" s="15"/>
      <c r="D45" s="15"/>
      <c r="E45" s="84">
        <f t="shared" si="3"/>
        <v>0</v>
      </c>
      <c r="G45" s="16">
        <v>0.25</v>
      </c>
      <c r="H45" s="16">
        <v>0.1</v>
      </c>
      <c r="I45" s="84">
        <f t="shared" si="4"/>
        <v>0</v>
      </c>
      <c r="J45" s="84">
        <f t="shared" si="5"/>
        <v>0</v>
      </c>
      <c r="K45" s="84">
        <f t="shared" si="6"/>
        <v>0</v>
      </c>
      <c r="L45" s="100">
        <f t="shared" si="0"/>
        <v>0</v>
      </c>
      <c r="N45" s="108" t="s">
        <v>160</v>
      </c>
      <c r="O45" s="102">
        <f t="shared" si="1"/>
        <v>0</v>
      </c>
      <c r="P45" s="102">
        <f t="shared" si="2"/>
        <v>0</v>
      </c>
    </row>
    <row r="46" spans="2:16" x14ac:dyDescent="0.25">
      <c r="B46" s="22" t="s">
        <v>60</v>
      </c>
      <c r="C46" s="15"/>
      <c r="D46" s="15"/>
      <c r="E46" s="84">
        <f t="shared" si="3"/>
        <v>0</v>
      </c>
      <c r="G46" s="16">
        <v>0.25</v>
      </c>
      <c r="H46" s="16">
        <v>0.1</v>
      </c>
      <c r="I46" s="84">
        <f t="shared" si="4"/>
        <v>0</v>
      </c>
      <c r="J46" s="84">
        <f t="shared" si="5"/>
        <v>0</v>
      </c>
      <c r="K46" s="84">
        <f t="shared" si="6"/>
        <v>0</v>
      </c>
      <c r="L46" s="100">
        <f t="shared" si="0"/>
        <v>0</v>
      </c>
      <c r="N46" s="108" t="s">
        <v>160</v>
      </c>
      <c r="O46" s="102">
        <f t="shared" si="1"/>
        <v>0</v>
      </c>
      <c r="P46" s="102">
        <f t="shared" si="2"/>
        <v>0</v>
      </c>
    </row>
    <row r="47" spans="2:16" x14ac:dyDescent="0.25">
      <c r="B47" s="103" t="s">
        <v>105</v>
      </c>
      <c r="C47" s="104"/>
      <c r="D47" s="104"/>
      <c r="E47" s="105">
        <f>SUM(E22:E46)</f>
        <v>2000000</v>
      </c>
      <c r="F47" s="105"/>
      <c r="G47" s="105"/>
      <c r="H47" s="105"/>
      <c r="I47" s="105"/>
      <c r="J47" s="105"/>
      <c r="K47" s="105">
        <f>SUM(K22:K46)</f>
        <v>1350000</v>
      </c>
      <c r="L47" s="105"/>
      <c r="M47" s="105"/>
      <c r="N47" s="105"/>
      <c r="O47" s="106">
        <f t="shared" ref="O47:P47" si="28">SUM(O22:O46)</f>
        <v>0</v>
      </c>
      <c r="P47" s="107">
        <f t="shared" si="28"/>
        <v>650000</v>
      </c>
    </row>
    <row r="50" spans="2:16" ht="30" x14ac:dyDescent="0.25">
      <c r="B50" s="85" t="s">
        <v>177</v>
      </c>
      <c r="C50" s="85"/>
      <c r="D50" s="88" t="s">
        <v>176</v>
      </c>
      <c r="E50" s="85" t="s">
        <v>150</v>
      </c>
      <c r="F50" s="85"/>
      <c r="G50" s="85"/>
      <c r="H50" s="88" t="s">
        <v>175</v>
      </c>
      <c r="I50" s="85"/>
      <c r="J50" s="85"/>
      <c r="K50" s="85" t="s">
        <v>154</v>
      </c>
      <c r="L50" s="99" t="s">
        <v>172</v>
      </c>
      <c r="M50" s="85"/>
      <c r="N50" s="85" t="s">
        <v>174</v>
      </c>
      <c r="O50" s="99" t="s">
        <v>173</v>
      </c>
      <c r="P50" s="99" t="s">
        <v>171</v>
      </c>
    </row>
    <row r="51" spans="2:16" x14ac:dyDescent="0.25">
      <c r="B51" s="22" t="s">
        <v>60</v>
      </c>
      <c r="D51" s="109">
        <v>0.02</v>
      </c>
      <c r="E51" s="84">
        <f>D51*$C$12</f>
        <v>2500000</v>
      </c>
      <c r="H51" s="109">
        <v>0.01</v>
      </c>
      <c r="K51" s="84">
        <f>H51*$C$12</f>
        <v>1250000</v>
      </c>
      <c r="L51" s="100">
        <f t="shared" ref="L51:L55" si="29">IFERROR(1-K51/E51,0)</f>
        <v>0.5</v>
      </c>
      <c r="N51" s="108" t="s">
        <v>160</v>
      </c>
      <c r="O51" s="102">
        <f>IFERROR(VLOOKUP(N51,$B$15:$C$18,2,0),0)*E51</f>
        <v>0</v>
      </c>
      <c r="P51" s="102">
        <f t="shared" ref="P51:P55" si="30">E51-K51</f>
        <v>1250000</v>
      </c>
    </row>
    <row r="52" spans="2:16" x14ac:dyDescent="0.25">
      <c r="B52" s="22" t="s">
        <v>60</v>
      </c>
      <c r="D52" s="109">
        <v>0.02</v>
      </c>
      <c r="E52" s="84">
        <f>D52*$C$12</f>
        <v>2500000</v>
      </c>
      <c r="H52" s="109">
        <v>0.01</v>
      </c>
      <c r="K52" s="84">
        <f>H52*$C$12</f>
        <v>1250000</v>
      </c>
      <c r="L52" s="100">
        <f t="shared" si="29"/>
        <v>0.5</v>
      </c>
      <c r="N52" s="108" t="s">
        <v>160</v>
      </c>
      <c r="O52" s="102">
        <f>IFERROR(VLOOKUP(N52,$B$15:$C$18,2,0),0)*E52</f>
        <v>0</v>
      </c>
      <c r="P52" s="102">
        <f t="shared" si="30"/>
        <v>1250000</v>
      </c>
    </row>
    <row r="53" spans="2:16" x14ac:dyDescent="0.25">
      <c r="B53" s="22" t="s">
        <v>60</v>
      </c>
      <c r="D53" s="109">
        <v>0</v>
      </c>
      <c r="E53" s="84">
        <f>D53*$C$12</f>
        <v>0</v>
      </c>
      <c r="H53" s="109">
        <v>0</v>
      </c>
      <c r="K53" s="84">
        <f>H53*$C$12</f>
        <v>0</v>
      </c>
      <c r="L53" s="100">
        <f t="shared" si="29"/>
        <v>0</v>
      </c>
      <c r="N53" s="108" t="s">
        <v>160</v>
      </c>
      <c r="O53" s="102">
        <f>IFERROR(VLOOKUP(N53,$B$15:$C$18,2,0),0)*E53</f>
        <v>0</v>
      </c>
      <c r="P53" s="102">
        <f t="shared" si="30"/>
        <v>0</v>
      </c>
    </row>
    <row r="54" spans="2:16" x14ac:dyDescent="0.25">
      <c r="B54" s="22" t="s">
        <v>60</v>
      </c>
      <c r="D54" s="109">
        <v>0</v>
      </c>
      <c r="E54" s="84">
        <f>D54*$C$12</f>
        <v>0</v>
      </c>
      <c r="H54" s="109">
        <v>0</v>
      </c>
      <c r="K54" s="84">
        <f>H54*$C$12</f>
        <v>0</v>
      </c>
      <c r="L54" s="100">
        <f t="shared" si="29"/>
        <v>0</v>
      </c>
      <c r="N54" s="108" t="s">
        <v>160</v>
      </c>
      <c r="O54" s="102">
        <f>IFERROR(VLOOKUP(N54,$B$15:$C$18,2,0),0)*E54</f>
        <v>0</v>
      </c>
      <c r="P54" s="102">
        <f t="shared" si="30"/>
        <v>0</v>
      </c>
    </row>
    <row r="55" spans="2:16" x14ac:dyDescent="0.25">
      <c r="B55" s="22" t="s">
        <v>60</v>
      </c>
      <c r="D55" s="109">
        <v>0</v>
      </c>
      <c r="E55" s="84">
        <f>D55*$C$12</f>
        <v>0</v>
      </c>
      <c r="H55" s="109">
        <v>0</v>
      </c>
      <c r="K55" s="84">
        <f>H55*$C$12</f>
        <v>0</v>
      </c>
      <c r="L55" s="100">
        <f t="shared" si="29"/>
        <v>0</v>
      </c>
      <c r="N55" s="108" t="s">
        <v>160</v>
      </c>
      <c r="O55" s="102">
        <f>IFERROR(VLOOKUP(N55,$B$15:$C$18,2,0),0)*E55</f>
        <v>0</v>
      </c>
      <c r="P55" s="102">
        <f t="shared" si="30"/>
        <v>0</v>
      </c>
    </row>
    <row r="56" spans="2:16" x14ac:dyDescent="0.25">
      <c r="B56" s="103" t="s">
        <v>105</v>
      </c>
      <c r="C56" s="105"/>
      <c r="D56" s="105"/>
      <c r="E56" s="105">
        <f>SUM(E51:E55)</f>
        <v>5000000</v>
      </c>
      <c r="F56" s="105"/>
      <c r="G56" s="105"/>
      <c r="H56" s="105"/>
      <c r="I56" s="105"/>
      <c r="J56" s="105"/>
      <c r="K56" s="105">
        <f>SUM(K51:K55)</f>
        <v>2500000</v>
      </c>
      <c r="L56" s="105"/>
      <c r="M56" s="105"/>
      <c r="N56" s="105"/>
      <c r="O56" s="106">
        <f>SUM(O51:O55)</f>
        <v>0</v>
      </c>
      <c r="P56" s="107">
        <f>SUM(P51:P55)</f>
        <v>2500000</v>
      </c>
    </row>
  </sheetData>
  <mergeCells count="3">
    <mergeCell ref="B2:P10"/>
    <mergeCell ref="G20:H20"/>
    <mergeCell ref="C12:D12"/>
  </mergeCells>
  <dataValidations count="1">
    <dataValidation type="list" allowBlank="1" showInputMessage="1" showErrorMessage="1" sqref="N22:N46 N51:N55">
      <formula1>$B$15:$B$18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AY87"/>
  <sheetViews>
    <sheetView showGridLines="0" zoomScale="110" zoomScaleNormal="110" workbookViewId="0">
      <pane xSplit="7" ySplit="3" topLeftCell="AI4" activePane="bottomRight" state="frozen"/>
      <selection pane="topRight" activeCell="H1" sqref="H1"/>
      <selection pane="bottomLeft" activeCell="A4" sqref="A4"/>
      <selection pane="bottomRight" activeCell="BG35" sqref="BG35"/>
    </sheetView>
  </sheetViews>
  <sheetFormatPr defaultRowHeight="11.25" outlineLevelCol="1" x14ac:dyDescent="0.2"/>
  <cols>
    <col min="1" max="1" width="1.7109375" style="2" customWidth="1"/>
    <col min="2" max="2" width="14.5703125" style="2" customWidth="1"/>
    <col min="3" max="3" width="8.140625" style="2" customWidth="1"/>
    <col min="4" max="7" width="7.7109375" style="2" customWidth="1"/>
    <col min="8" max="10" width="8" style="2" customWidth="1" outlineLevel="1"/>
    <col min="11" max="11" width="9" style="2" customWidth="1"/>
    <col min="12" max="12" width="7.5703125" style="2" customWidth="1"/>
    <col min="13" max="16" width="6.42578125" style="2" customWidth="1" outlineLevel="1"/>
    <col min="17" max="17" width="9" style="2" customWidth="1"/>
    <col min="18" max="18" width="2.85546875" style="2" customWidth="1"/>
    <col min="19" max="22" width="6.28515625" style="2" customWidth="1" outlineLevel="1"/>
    <col min="23" max="27" width="6.7109375" style="2" customWidth="1"/>
    <col min="28" max="28" width="2" style="2" customWidth="1"/>
    <col min="29" max="33" width="8" style="2" customWidth="1" outlineLevel="1"/>
    <col min="34" max="34" width="8" style="2" customWidth="1"/>
    <col min="35" max="40" width="6.42578125" style="2" customWidth="1" outlineLevel="1"/>
    <col min="41" max="41" width="8" style="2" customWidth="1"/>
    <col min="42" max="42" width="2.7109375" style="2" customWidth="1"/>
    <col min="43" max="43" width="9.140625" style="2"/>
    <col min="44" max="44" width="5.85546875" style="2" customWidth="1"/>
    <col min="45" max="45" width="1.140625" style="2" customWidth="1"/>
    <col min="46" max="46" width="9.140625" style="2"/>
    <col min="47" max="47" width="5.5703125" style="2" customWidth="1"/>
    <col min="48" max="51" width="7" style="2" customWidth="1"/>
    <col min="52" max="16384" width="9.140625" style="2"/>
  </cols>
  <sheetData>
    <row r="1" spans="2:51" ht="23.25" customHeight="1" x14ac:dyDescent="0.2">
      <c r="W1" s="200" t="s">
        <v>59</v>
      </c>
      <c r="X1" s="200"/>
      <c r="Y1" s="200"/>
      <c r="Z1" s="200"/>
      <c r="AA1" s="200"/>
      <c r="AC1" s="202" t="s">
        <v>49</v>
      </c>
      <c r="AD1" s="202"/>
      <c r="AE1" s="202"/>
      <c r="AF1" s="202"/>
      <c r="AG1" s="202"/>
      <c r="AH1" s="202"/>
    </row>
    <row r="2" spans="2:51" ht="11.25" customHeight="1" thickBot="1" x14ac:dyDescent="0.25">
      <c r="AV2" s="201" t="s">
        <v>50</v>
      </c>
      <c r="AW2" s="201"/>
      <c r="AX2" s="201"/>
      <c r="AY2" s="201"/>
    </row>
    <row r="3" spans="2:51" ht="24" customHeight="1" thickBot="1" x14ac:dyDescent="0.25">
      <c r="B3" s="153" t="s">
        <v>5</v>
      </c>
      <c r="C3" s="154" t="s">
        <v>13</v>
      </c>
      <c r="D3" s="155" t="s">
        <v>3</v>
      </c>
      <c r="E3" s="155" t="s">
        <v>6</v>
      </c>
      <c r="F3" s="155" t="s">
        <v>7</v>
      </c>
      <c r="G3" s="155" t="s">
        <v>8</v>
      </c>
      <c r="H3" s="155" t="s">
        <v>9</v>
      </c>
      <c r="I3" s="155" t="s">
        <v>10</v>
      </c>
      <c r="J3" s="155" t="s">
        <v>11</v>
      </c>
      <c r="K3" s="156" t="s">
        <v>12</v>
      </c>
      <c r="L3" s="155" t="s">
        <v>42</v>
      </c>
      <c r="M3" s="155" t="s">
        <v>2</v>
      </c>
      <c r="N3" s="155" t="s">
        <v>43</v>
      </c>
      <c r="O3" s="155" t="s">
        <v>44</v>
      </c>
      <c r="P3" s="155" t="s">
        <v>45</v>
      </c>
      <c r="Q3" s="156" t="s">
        <v>21</v>
      </c>
      <c r="S3" s="157" t="s">
        <v>53</v>
      </c>
      <c r="T3" s="133" t="s">
        <v>54</v>
      </c>
      <c r="U3" s="133" t="s">
        <v>55</v>
      </c>
      <c r="V3" s="134" t="s">
        <v>56</v>
      </c>
      <c r="W3" s="133" t="s">
        <v>75</v>
      </c>
      <c r="X3" s="133" t="s">
        <v>74</v>
      </c>
      <c r="Y3" s="133" t="s">
        <v>76</v>
      </c>
      <c r="Z3" s="133" t="s">
        <v>77</v>
      </c>
      <c r="AA3" s="134" t="s">
        <v>78</v>
      </c>
      <c r="AC3" s="153" t="s">
        <v>14</v>
      </c>
      <c r="AD3" s="155" t="s">
        <v>17</v>
      </c>
      <c r="AE3" s="155" t="s">
        <v>46</v>
      </c>
      <c r="AF3" s="155" t="s">
        <v>15</v>
      </c>
      <c r="AG3" s="155" t="s">
        <v>47</v>
      </c>
      <c r="AH3" s="153" t="s">
        <v>12</v>
      </c>
      <c r="AI3" s="153" t="s">
        <v>2</v>
      </c>
      <c r="AJ3" s="155" t="s">
        <v>43</v>
      </c>
      <c r="AK3" s="155" t="s">
        <v>44</v>
      </c>
      <c r="AL3" s="171" t="s">
        <v>45</v>
      </c>
      <c r="AM3" s="155" t="s">
        <v>57</v>
      </c>
      <c r="AN3" s="155" t="s">
        <v>58</v>
      </c>
      <c r="AO3" s="156" t="s">
        <v>21</v>
      </c>
      <c r="AQ3" s="203" t="s">
        <v>184</v>
      </c>
      <c r="AR3" s="204"/>
      <c r="AS3" s="180"/>
      <c r="AT3" s="204" t="s">
        <v>48</v>
      </c>
      <c r="AU3" s="205"/>
      <c r="AV3" s="176" t="s">
        <v>51</v>
      </c>
      <c r="AW3" s="176" t="s">
        <v>185</v>
      </c>
      <c r="AX3" s="176" t="s">
        <v>186</v>
      </c>
      <c r="AY3" s="176" t="s">
        <v>52</v>
      </c>
    </row>
    <row r="4" spans="2:51" x14ac:dyDescent="0.2">
      <c r="B4" s="145" t="s">
        <v>64</v>
      </c>
      <c r="C4" s="126" t="s">
        <v>60</v>
      </c>
      <c r="D4" s="127">
        <v>300000</v>
      </c>
      <c r="E4" s="127"/>
      <c r="F4" s="127"/>
      <c r="G4" s="127"/>
      <c r="H4" s="125">
        <f t="shared" ref="H4:H43" si="0">D4*$C$47</f>
        <v>57000</v>
      </c>
      <c r="I4" s="125">
        <f t="shared" ref="I4:I43" si="1">E4*$C$48</f>
        <v>0</v>
      </c>
      <c r="J4" s="125">
        <f t="shared" ref="J4:J43" si="2">F4*1.18*($C$64+$C$50)</f>
        <v>0</v>
      </c>
      <c r="K4" s="150">
        <f>SUM(D4:J4)</f>
        <v>357000</v>
      </c>
      <c r="L4" s="127"/>
      <c r="M4" s="125">
        <f t="shared" ref="M4:M43" si="3">D4*$C$50</f>
        <v>45000</v>
      </c>
      <c r="N4" s="125">
        <f t="shared" ref="N4:N43" si="4">D4*$C$52</f>
        <v>55500</v>
      </c>
      <c r="O4" s="125">
        <f t="shared" ref="O4:O43" si="5">-IF(L4=1,$D$78,IF(L4=2,$D$79,IF(L4&gt;2,$D$80,0)))*L4</f>
        <v>0</v>
      </c>
      <c r="P4" s="125">
        <f t="shared" ref="P4:P43" si="6">E4*$C$51</f>
        <v>0</v>
      </c>
      <c r="Q4" s="150">
        <f>SUM(D4:G4)-MAX(0,SUM(M4:O4))-P4</f>
        <v>199500</v>
      </c>
      <c r="S4" s="158">
        <v>8</v>
      </c>
      <c r="T4" s="129">
        <v>4</v>
      </c>
      <c r="U4" s="13">
        <f>IF((T4/S4)&lt;0.5,0,(S4-T4))*0.3</f>
        <v>1.2</v>
      </c>
      <c r="V4" s="161">
        <f>SUM(T4:U4)</f>
        <v>5.2</v>
      </c>
      <c r="W4" s="162">
        <f>1-IFERROR(V4/S4,0)</f>
        <v>0.35</v>
      </c>
      <c r="X4" s="131"/>
      <c r="Y4" s="162">
        <f>SUM(W4:X4)</f>
        <v>0.35</v>
      </c>
      <c r="Z4" s="131"/>
      <c r="AA4" s="135"/>
      <c r="AC4" s="167">
        <f t="shared" ref="AC4:AC43" si="7">D4*(1-Y4)</f>
        <v>195000</v>
      </c>
      <c r="AD4" s="125">
        <f t="shared" ref="AD4:AD43" si="8">+E4*(1-Z4)</f>
        <v>0</v>
      </c>
      <c r="AE4" s="125">
        <f t="shared" ref="AE4:AE43" si="9">F4</f>
        <v>0</v>
      </c>
      <c r="AF4" s="125">
        <f t="shared" ref="AF4:AF43" si="10">G4*(1-AA4)+AM4</f>
        <v>0</v>
      </c>
      <c r="AG4" s="125">
        <f t="shared" ref="AG4:AG43" si="11">AC4*$C$47+AD4*$C$48+AE4*1.18*($C$64+$C$50)</f>
        <v>37050</v>
      </c>
      <c r="AH4" s="170">
        <f>SUM(AC4:AG4)</f>
        <v>232050</v>
      </c>
      <c r="AI4" s="167">
        <f t="shared" ref="AI4:AI43" si="12">AC4*$C$50</f>
        <v>29250</v>
      </c>
      <c r="AJ4" s="125">
        <f t="shared" ref="AJ4:AJ43" si="13">AC4*$C$52</f>
        <v>36075</v>
      </c>
      <c r="AK4" s="125">
        <f t="shared" ref="AK4:AK43" si="14">-IF(L4=1,$D$78,IF(L4=2,$D$79,IF(L4&gt;2,$D$80,0)))*L4</f>
        <v>0</v>
      </c>
      <c r="AL4" s="172">
        <f t="shared" ref="AL4:AL43" si="15">AD4*$C$51</f>
        <v>0</v>
      </c>
      <c r="AM4" s="124"/>
      <c r="AN4" s="125">
        <f>MAX(MIN((D4-MAX(0,SUM(M4:O4)))*IFERROR(1-T4/S4,0)*0.7,használat!$H$22),0)</f>
        <v>69825</v>
      </c>
      <c r="AO4" s="150">
        <f>SUM(AC4:AF4,AN4)-MAX(0,SUM(AI4:AK4))-AL4</f>
        <v>199500</v>
      </c>
      <c r="AQ4" s="167">
        <f t="shared" ref="AQ4:AQ43" si="16">AH4-K4</f>
        <v>-124950</v>
      </c>
      <c r="AR4" s="174">
        <f>IFERROR(AQ4/K4,0)</f>
        <v>-0.35</v>
      </c>
      <c r="AS4" s="179"/>
      <c r="AT4" s="125">
        <f t="shared" ref="AT4:AT43" si="17">AO4-Q4</f>
        <v>0</v>
      </c>
      <c r="AU4" s="181">
        <f>IFERROR(AT4/Q4,0)</f>
        <v>0</v>
      </c>
      <c r="AV4" s="10">
        <f t="shared" ref="AV4:AV43" si="18">IFERROR($AT4*3/($Q4*12),0)</f>
        <v>0</v>
      </c>
      <c r="AW4" s="10">
        <f>IFERROR(($AT4*4-$AN4*1)/($Q4*12),0)</f>
        <v>-2.9166666666666667E-2</v>
      </c>
      <c r="AX4" s="10">
        <f t="shared" ref="AX4:AX5" si="19">IFERROR(($AT4*5-$AN4*2)/($Q4*12),0)</f>
        <v>-5.8333333333333334E-2</v>
      </c>
      <c r="AY4" s="10">
        <f t="shared" ref="AY4:AY5" si="20">IFERROR(($AT4*6-$AN4*3)/($Q4*12),0)</f>
        <v>-8.7499999999999994E-2</v>
      </c>
    </row>
    <row r="5" spans="2:51" x14ac:dyDescent="0.2">
      <c r="B5" s="145" t="s">
        <v>61</v>
      </c>
      <c r="C5" s="126" t="s">
        <v>60</v>
      </c>
      <c r="D5" s="127">
        <v>300000</v>
      </c>
      <c r="E5" s="128"/>
      <c r="F5" s="128"/>
      <c r="G5" s="128"/>
      <c r="H5" s="125">
        <f t="shared" si="0"/>
        <v>57000</v>
      </c>
      <c r="I5" s="125">
        <f t="shared" si="1"/>
        <v>0</v>
      </c>
      <c r="J5" s="125">
        <f t="shared" si="2"/>
        <v>0</v>
      </c>
      <c r="K5" s="150">
        <f t="shared" ref="K5:K43" si="21">SUM(D5:J5)</f>
        <v>357000</v>
      </c>
      <c r="L5" s="128">
        <v>2</v>
      </c>
      <c r="M5" s="125">
        <f t="shared" si="3"/>
        <v>45000</v>
      </c>
      <c r="N5" s="125">
        <f t="shared" si="4"/>
        <v>55500</v>
      </c>
      <c r="O5" s="125">
        <f t="shared" si="5"/>
        <v>-40000</v>
      </c>
      <c r="P5" s="125">
        <f t="shared" si="6"/>
        <v>0</v>
      </c>
      <c r="Q5" s="150">
        <f t="shared" ref="Q5:Q43" si="22">SUM(D5:G5)-MAX(0,SUM(M5:O5))-P5</f>
        <v>239500</v>
      </c>
      <c r="S5" s="159">
        <v>8</v>
      </c>
      <c r="T5" s="130">
        <v>4</v>
      </c>
      <c r="U5" s="14">
        <f t="shared" ref="U5:U43" si="23">IF((T5/S5)&lt;0.5,0,(S5-T5))*0.3</f>
        <v>1.2</v>
      </c>
      <c r="V5" s="163">
        <f t="shared" ref="V5:V43" si="24">SUM(T5:U5)</f>
        <v>5.2</v>
      </c>
      <c r="W5" s="164">
        <f t="shared" ref="W5:W43" si="25">1-IFERROR(V5/S5,0)</f>
        <v>0.35</v>
      </c>
      <c r="X5" s="132"/>
      <c r="Y5" s="164">
        <f t="shared" ref="Y5:Y43" si="26">SUM(W5:X5)</f>
        <v>0.35</v>
      </c>
      <c r="Z5" s="132"/>
      <c r="AA5" s="136"/>
      <c r="AC5" s="167">
        <f t="shared" si="7"/>
        <v>195000</v>
      </c>
      <c r="AD5" s="125">
        <f t="shared" si="8"/>
        <v>0</v>
      </c>
      <c r="AE5" s="125">
        <f t="shared" si="9"/>
        <v>0</v>
      </c>
      <c r="AF5" s="125">
        <f t="shared" si="10"/>
        <v>0</v>
      </c>
      <c r="AG5" s="125">
        <f t="shared" si="11"/>
        <v>37050</v>
      </c>
      <c r="AH5" s="170">
        <f t="shared" ref="AH5:AH43" si="27">SUM(AC5:AG5)</f>
        <v>232050</v>
      </c>
      <c r="AI5" s="167">
        <f t="shared" si="12"/>
        <v>29250</v>
      </c>
      <c r="AJ5" s="125">
        <f t="shared" si="13"/>
        <v>36075</v>
      </c>
      <c r="AK5" s="125">
        <f t="shared" si="14"/>
        <v>-40000</v>
      </c>
      <c r="AL5" s="172">
        <f t="shared" si="15"/>
        <v>0</v>
      </c>
      <c r="AM5" s="8"/>
      <c r="AN5" s="125">
        <f>MAX(MIN((D5-MAX(0,SUM(M5:O5)))*IFERROR(1-T5/S5,0)*0.7,használat!$H$22),0)</f>
        <v>83825</v>
      </c>
      <c r="AO5" s="150">
        <f t="shared" ref="AO5:AO43" si="28">SUM(AC5:AF5,AN5)-MAX(0,SUM(AI5:AK5))-AL5</f>
        <v>253500</v>
      </c>
      <c r="AQ5" s="167">
        <f t="shared" si="16"/>
        <v>-124950</v>
      </c>
      <c r="AR5" s="174">
        <f t="shared" ref="AR5:AR44" si="29">IFERROR(AQ5/K5,0)</f>
        <v>-0.35</v>
      </c>
      <c r="AS5" s="179"/>
      <c r="AT5" s="125">
        <f t="shared" si="17"/>
        <v>14000</v>
      </c>
      <c r="AU5" s="181">
        <f t="shared" ref="AU5:AU44" si="30">IFERROR(AT5/Q5,0)</f>
        <v>5.845511482254697E-2</v>
      </c>
      <c r="AV5" s="10">
        <f t="shared" si="18"/>
        <v>1.4613778705636743E-2</v>
      </c>
      <c r="AW5" s="10">
        <f t="shared" ref="AW5" si="31">IFERROR(($AT5*4-$AN5*1)/($Q5*12),0)</f>
        <v>-9.6816283924843431E-3</v>
      </c>
      <c r="AX5" s="10">
        <f t="shared" si="19"/>
        <v>-3.3977035490605427E-2</v>
      </c>
      <c r="AY5" s="10">
        <f t="shared" si="20"/>
        <v>-5.8272442588726513E-2</v>
      </c>
    </row>
    <row r="6" spans="2:51" x14ac:dyDescent="0.2">
      <c r="B6" s="145" t="s">
        <v>62</v>
      </c>
      <c r="C6" s="126" t="s">
        <v>60</v>
      </c>
      <c r="D6" s="128">
        <v>500000</v>
      </c>
      <c r="E6" s="128"/>
      <c r="F6" s="128"/>
      <c r="G6" s="128"/>
      <c r="H6" s="125">
        <f t="shared" si="0"/>
        <v>95000</v>
      </c>
      <c r="I6" s="125">
        <f t="shared" si="1"/>
        <v>0</v>
      </c>
      <c r="J6" s="125">
        <f t="shared" si="2"/>
        <v>0</v>
      </c>
      <c r="K6" s="150">
        <f t="shared" si="21"/>
        <v>595000</v>
      </c>
      <c r="L6" s="128">
        <v>1</v>
      </c>
      <c r="M6" s="125">
        <f t="shared" si="3"/>
        <v>75000</v>
      </c>
      <c r="N6" s="125">
        <f t="shared" si="4"/>
        <v>92500</v>
      </c>
      <c r="O6" s="125">
        <f t="shared" si="5"/>
        <v>-10000</v>
      </c>
      <c r="P6" s="125">
        <f t="shared" si="6"/>
        <v>0</v>
      </c>
      <c r="Q6" s="150">
        <f t="shared" si="22"/>
        <v>342500</v>
      </c>
      <c r="S6" s="159">
        <v>8</v>
      </c>
      <c r="T6" s="130">
        <v>4</v>
      </c>
      <c r="U6" s="14">
        <f t="shared" si="23"/>
        <v>1.2</v>
      </c>
      <c r="V6" s="163">
        <f t="shared" si="24"/>
        <v>5.2</v>
      </c>
      <c r="W6" s="164">
        <f t="shared" si="25"/>
        <v>0.35</v>
      </c>
      <c r="X6" s="132"/>
      <c r="Y6" s="164">
        <f t="shared" si="26"/>
        <v>0.35</v>
      </c>
      <c r="Z6" s="132"/>
      <c r="AA6" s="136"/>
      <c r="AC6" s="167">
        <f t="shared" si="7"/>
        <v>325000</v>
      </c>
      <c r="AD6" s="125">
        <f t="shared" si="8"/>
        <v>0</v>
      </c>
      <c r="AE6" s="125">
        <f t="shared" si="9"/>
        <v>0</v>
      </c>
      <c r="AF6" s="125">
        <f t="shared" si="10"/>
        <v>0</v>
      </c>
      <c r="AG6" s="125">
        <f t="shared" si="11"/>
        <v>61750</v>
      </c>
      <c r="AH6" s="170">
        <f t="shared" si="27"/>
        <v>386750</v>
      </c>
      <c r="AI6" s="167">
        <f t="shared" si="12"/>
        <v>48750</v>
      </c>
      <c r="AJ6" s="125">
        <f t="shared" si="13"/>
        <v>60125</v>
      </c>
      <c r="AK6" s="125">
        <f t="shared" si="14"/>
        <v>-10000</v>
      </c>
      <c r="AL6" s="172">
        <f t="shared" si="15"/>
        <v>0</v>
      </c>
      <c r="AM6" s="8"/>
      <c r="AN6" s="125">
        <f>MAX(MIN((D6-MAX(0,SUM(M6:O6)))*IFERROR(1-T6/S6,0)*0.7,használat!$H$22),0)</f>
        <v>112418.25</v>
      </c>
      <c r="AO6" s="150">
        <f t="shared" si="28"/>
        <v>338543.25</v>
      </c>
      <c r="AQ6" s="167">
        <f t="shared" si="16"/>
        <v>-208250</v>
      </c>
      <c r="AR6" s="174">
        <f t="shared" si="29"/>
        <v>-0.35</v>
      </c>
      <c r="AS6" s="179"/>
      <c r="AT6" s="125">
        <f t="shared" si="17"/>
        <v>-3956.75</v>
      </c>
      <c r="AU6" s="181">
        <f t="shared" si="30"/>
        <v>-1.1552554744525547E-2</v>
      </c>
      <c r="AV6" s="10">
        <f t="shared" si="18"/>
        <v>-2.8881386861313867E-3</v>
      </c>
      <c r="AW6" s="10">
        <f>IFERROR(($AT6*4-$AN6*1)/($Q6*12),0)</f>
        <v>-3.120322384428224E-2</v>
      </c>
      <c r="AX6" s="10">
        <f>IFERROR(($AT6*5-$AN6*2)/($Q6*12),0)</f>
        <v>-5.9518309002433087E-2</v>
      </c>
      <c r="AY6" s="10">
        <f>IFERROR(($AT6*6-$AN6*3)/($Q6*12),0)</f>
        <v>-8.7833394160583944E-2</v>
      </c>
    </row>
    <row r="7" spans="2:51" x14ac:dyDescent="0.2">
      <c r="B7" s="145" t="s">
        <v>63</v>
      </c>
      <c r="C7" s="126" t="s">
        <v>60</v>
      </c>
      <c r="D7" s="128">
        <v>180000</v>
      </c>
      <c r="E7" s="128"/>
      <c r="F7" s="128"/>
      <c r="G7" s="128"/>
      <c r="H7" s="125">
        <f t="shared" si="0"/>
        <v>34200</v>
      </c>
      <c r="I7" s="125">
        <f t="shared" si="1"/>
        <v>0</v>
      </c>
      <c r="J7" s="125">
        <f t="shared" si="2"/>
        <v>0</v>
      </c>
      <c r="K7" s="150">
        <f t="shared" si="21"/>
        <v>214200</v>
      </c>
      <c r="L7" s="128"/>
      <c r="M7" s="125">
        <f t="shared" si="3"/>
        <v>27000</v>
      </c>
      <c r="N7" s="125">
        <f t="shared" si="4"/>
        <v>33300</v>
      </c>
      <c r="O7" s="125">
        <f t="shared" si="5"/>
        <v>0</v>
      </c>
      <c r="P7" s="125">
        <f t="shared" si="6"/>
        <v>0</v>
      </c>
      <c r="Q7" s="150">
        <f t="shared" si="22"/>
        <v>119700</v>
      </c>
      <c r="S7" s="159">
        <v>6</v>
      </c>
      <c r="T7" s="130">
        <v>4</v>
      </c>
      <c r="U7" s="14">
        <f t="shared" si="23"/>
        <v>0.6</v>
      </c>
      <c r="V7" s="163">
        <f t="shared" si="24"/>
        <v>4.5999999999999996</v>
      </c>
      <c r="W7" s="164">
        <f t="shared" si="25"/>
        <v>0.23333333333333339</v>
      </c>
      <c r="X7" s="132"/>
      <c r="Y7" s="164">
        <f t="shared" si="26"/>
        <v>0.23333333333333339</v>
      </c>
      <c r="Z7" s="132"/>
      <c r="AA7" s="136"/>
      <c r="AC7" s="167">
        <f t="shared" si="7"/>
        <v>138000</v>
      </c>
      <c r="AD7" s="125">
        <f t="shared" si="8"/>
        <v>0</v>
      </c>
      <c r="AE7" s="125">
        <f t="shared" si="9"/>
        <v>0</v>
      </c>
      <c r="AF7" s="125">
        <f t="shared" si="10"/>
        <v>0</v>
      </c>
      <c r="AG7" s="125">
        <f t="shared" si="11"/>
        <v>26220</v>
      </c>
      <c r="AH7" s="170">
        <f t="shared" si="27"/>
        <v>164220</v>
      </c>
      <c r="AI7" s="167">
        <f t="shared" si="12"/>
        <v>20700</v>
      </c>
      <c r="AJ7" s="125">
        <f t="shared" si="13"/>
        <v>25530</v>
      </c>
      <c r="AK7" s="125">
        <f t="shared" si="14"/>
        <v>0</v>
      </c>
      <c r="AL7" s="172">
        <f t="shared" si="15"/>
        <v>0</v>
      </c>
      <c r="AM7" s="8"/>
      <c r="AN7" s="125">
        <f>MAX(MIN((D7-MAX(0,SUM(M7:O7)))*IFERROR(1-T7/S7,0)*0.7,használat!$H$22),0)</f>
        <v>27930.000000000004</v>
      </c>
      <c r="AO7" s="150">
        <f t="shared" si="28"/>
        <v>119700</v>
      </c>
      <c r="AQ7" s="167">
        <f t="shared" si="16"/>
        <v>-49980</v>
      </c>
      <c r="AR7" s="174">
        <f t="shared" si="29"/>
        <v>-0.23333333333333334</v>
      </c>
      <c r="AS7" s="179"/>
      <c r="AT7" s="125">
        <f t="shared" si="17"/>
        <v>0</v>
      </c>
      <c r="AU7" s="181">
        <f t="shared" si="30"/>
        <v>0</v>
      </c>
      <c r="AV7" s="10">
        <f t="shared" si="18"/>
        <v>0</v>
      </c>
      <c r="AW7" s="10">
        <f t="shared" ref="AW7:AW43" si="32">IFERROR(($AT7*4-$AN7*1)/($Q7*12),0)</f>
        <v>-1.9444444444444448E-2</v>
      </c>
      <c r="AX7" s="10">
        <f t="shared" ref="AX7:AX43" si="33">IFERROR(($AT7*5-$AN7*2)/($Q7*12),0)</f>
        <v>-3.8888888888888896E-2</v>
      </c>
      <c r="AY7" s="10">
        <f t="shared" ref="AY7:AY43" si="34">IFERROR(($AT7*6-$AN7*3)/($Q7*12),0)</f>
        <v>-5.8333333333333341E-2</v>
      </c>
    </row>
    <row r="8" spans="2:51" x14ac:dyDescent="0.2">
      <c r="B8" s="145" t="s">
        <v>181</v>
      </c>
      <c r="C8" s="126"/>
      <c r="D8" s="128"/>
      <c r="E8" s="128"/>
      <c r="F8" s="128"/>
      <c r="G8" s="128">
        <v>50000</v>
      </c>
      <c r="H8" s="125">
        <f t="shared" si="0"/>
        <v>0</v>
      </c>
      <c r="I8" s="125">
        <f t="shared" si="1"/>
        <v>0</v>
      </c>
      <c r="J8" s="125">
        <f t="shared" si="2"/>
        <v>0</v>
      </c>
      <c r="K8" s="150">
        <f t="shared" si="21"/>
        <v>50000</v>
      </c>
      <c r="L8" s="128"/>
      <c r="M8" s="125">
        <f t="shared" si="3"/>
        <v>0</v>
      </c>
      <c r="N8" s="125">
        <f t="shared" si="4"/>
        <v>0</v>
      </c>
      <c r="O8" s="125">
        <f t="shared" si="5"/>
        <v>0</v>
      </c>
      <c r="P8" s="125">
        <f t="shared" si="6"/>
        <v>0</v>
      </c>
      <c r="Q8" s="150">
        <f t="shared" si="22"/>
        <v>50000</v>
      </c>
      <c r="S8" s="159">
        <v>8</v>
      </c>
      <c r="T8" s="130">
        <v>4</v>
      </c>
      <c r="U8" s="14">
        <f t="shared" si="23"/>
        <v>1.2</v>
      </c>
      <c r="V8" s="163">
        <f t="shared" si="24"/>
        <v>5.2</v>
      </c>
      <c r="W8" s="164">
        <f t="shared" si="25"/>
        <v>0.35</v>
      </c>
      <c r="X8" s="132"/>
      <c r="Y8" s="164">
        <f t="shared" si="26"/>
        <v>0.35</v>
      </c>
      <c r="Z8" s="132"/>
      <c r="AA8" s="136">
        <v>0.5</v>
      </c>
      <c r="AC8" s="167">
        <f t="shared" si="7"/>
        <v>0</v>
      </c>
      <c r="AD8" s="125">
        <f t="shared" si="8"/>
        <v>0</v>
      </c>
      <c r="AE8" s="125">
        <f t="shared" si="9"/>
        <v>0</v>
      </c>
      <c r="AF8" s="125">
        <f t="shared" si="10"/>
        <v>25000</v>
      </c>
      <c r="AG8" s="125">
        <f t="shared" si="11"/>
        <v>0</v>
      </c>
      <c r="AH8" s="170">
        <f t="shared" si="27"/>
        <v>25000</v>
      </c>
      <c r="AI8" s="167">
        <f t="shared" si="12"/>
        <v>0</v>
      </c>
      <c r="AJ8" s="125">
        <f t="shared" si="13"/>
        <v>0</v>
      </c>
      <c r="AK8" s="125">
        <f t="shared" si="14"/>
        <v>0</v>
      </c>
      <c r="AL8" s="172">
        <f t="shared" si="15"/>
        <v>0</v>
      </c>
      <c r="AM8" s="8"/>
      <c r="AN8" s="125">
        <f>MAX(MIN((D8-MAX(0,SUM(M8:O8)))*IFERROR(1-T8/S8,0)*0.7,használat!$H$22),0)</f>
        <v>0</v>
      </c>
      <c r="AO8" s="150">
        <f t="shared" si="28"/>
        <v>25000</v>
      </c>
      <c r="AQ8" s="167">
        <f t="shared" si="16"/>
        <v>-25000</v>
      </c>
      <c r="AR8" s="174">
        <f t="shared" si="29"/>
        <v>-0.5</v>
      </c>
      <c r="AS8" s="179"/>
      <c r="AT8" s="125">
        <f t="shared" si="17"/>
        <v>-25000</v>
      </c>
      <c r="AU8" s="181">
        <f t="shared" si="30"/>
        <v>-0.5</v>
      </c>
      <c r="AV8" s="10">
        <f t="shared" si="18"/>
        <v>-0.125</v>
      </c>
      <c r="AW8" s="10">
        <f t="shared" si="32"/>
        <v>-0.16666666666666666</v>
      </c>
      <c r="AX8" s="10">
        <f t="shared" si="33"/>
        <v>-0.20833333333333334</v>
      </c>
      <c r="AY8" s="10">
        <f t="shared" si="34"/>
        <v>-0.25</v>
      </c>
    </row>
    <row r="9" spans="2:51" x14ac:dyDescent="0.2">
      <c r="B9" s="145" t="s">
        <v>182</v>
      </c>
      <c r="C9" s="126"/>
      <c r="D9" s="128"/>
      <c r="E9" s="128"/>
      <c r="F9" s="128"/>
      <c r="G9" s="128">
        <v>100000</v>
      </c>
      <c r="H9" s="125">
        <f t="shared" si="0"/>
        <v>0</v>
      </c>
      <c r="I9" s="125">
        <f t="shared" si="1"/>
        <v>0</v>
      </c>
      <c r="J9" s="125">
        <f t="shared" si="2"/>
        <v>0</v>
      </c>
      <c r="K9" s="150">
        <f t="shared" si="21"/>
        <v>100000</v>
      </c>
      <c r="L9" s="128"/>
      <c r="M9" s="125">
        <f t="shared" si="3"/>
        <v>0</v>
      </c>
      <c r="N9" s="125">
        <f t="shared" si="4"/>
        <v>0</v>
      </c>
      <c r="O9" s="125">
        <f t="shared" si="5"/>
        <v>0</v>
      </c>
      <c r="P9" s="125">
        <f t="shared" si="6"/>
        <v>0</v>
      </c>
      <c r="Q9" s="150">
        <f t="shared" si="22"/>
        <v>100000</v>
      </c>
      <c r="S9" s="159">
        <v>8</v>
      </c>
      <c r="T9" s="130">
        <v>4</v>
      </c>
      <c r="U9" s="14">
        <f t="shared" si="23"/>
        <v>1.2</v>
      </c>
      <c r="V9" s="163">
        <f t="shared" si="24"/>
        <v>5.2</v>
      </c>
      <c r="W9" s="164">
        <f t="shared" si="25"/>
        <v>0.35</v>
      </c>
      <c r="X9" s="132"/>
      <c r="Y9" s="164">
        <f t="shared" si="26"/>
        <v>0.35</v>
      </c>
      <c r="Z9" s="132"/>
      <c r="AA9" s="136">
        <v>0.5</v>
      </c>
      <c r="AC9" s="167">
        <f t="shared" si="7"/>
        <v>0</v>
      </c>
      <c r="AD9" s="125">
        <f t="shared" si="8"/>
        <v>0</v>
      </c>
      <c r="AE9" s="125">
        <f t="shared" si="9"/>
        <v>0</v>
      </c>
      <c r="AF9" s="125">
        <f t="shared" si="10"/>
        <v>50000</v>
      </c>
      <c r="AG9" s="125">
        <f t="shared" si="11"/>
        <v>0</v>
      </c>
      <c r="AH9" s="170">
        <f t="shared" si="27"/>
        <v>50000</v>
      </c>
      <c r="AI9" s="167">
        <f t="shared" si="12"/>
        <v>0</v>
      </c>
      <c r="AJ9" s="125">
        <f t="shared" si="13"/>
        <v>0</v>
      </c>
      <c r="AK9" s="125">
        <f t="shared" si="14"/>
        <v>0</v>
      </c>
      <c r="AL9" s="172">
        <f t="shared" si="15"/>
        <v>0</v>
      </c>
      <c r="AM9" s="8"/>
      <c r="AN9" s="125">
        <f>MAX(MIN((D9-MAX(0,SUM(M9:O9)))*IFERROR(1-T9/S9,0)*0.7,használat!$H$22),0)</f>
        <v>0</v>
      </c>
      <c r="AO9" s="150">
        <f t="shared" si="28"/>
        <v>50000</v>
      </c>
      <c r="AQ9" s="167">
        <f t="shared" si="16"/>
        <v>-50000</v>
      </c>
      <c r="AR9" s="174">
        <f t="shared" si="29"/>
        <v>-0.5</v>
      </c>
      <c r="AS9" s="179"/>
      <c r="AT9" s="125">
        <f t="shared" si="17"/>
        <v>-50000</v>
      </c>
      <c r="AU9" s="181">
        <f t="shared" si="30"/>
        <v>-0.5</v>
      </c>
      <c r="AV9" s="10">
        <f t="shared" si="18"/>
        <v>-0.125</v>
      </c>
      <c r="AW9" s="10">
        <f t="shared" si="32"/>
        <v>-0.16666666666666666</v>
      </c>
      <c r="AX9" s="10">
        <f t="shared" si="33"/>
        <v>-0.20833333333333334</v>
      </c>
      <c r="AY9" s="10">
        <f t="shared" si="34"/>
        <v>-0.25</v>
      </c>
    </row>
    <row r="10" spans="2:51" x14ac:dyDescent="0.2">
      <c r="B10" s="145" t="s">
        <v>183</v>
      </c>
      <c r="C10" s="126"/>
      <c r="D10" s="128">
        <v>950000</v>
      </c>
      <c r="E10" s="128"/>
      <c r="F10" s="128"/>
      <c r="G10" s="128"/>
      <c r="H10" s="125">
        <f t="shared" si="0"/>
        <v>180500</v>
      </c>
      <c r="I10" s="125">
        <f t="shared" si="1"/>
        <v>0</v>
      </c>
      <c r="J10" s="125">
        <f t="shared" si="2"/>
        <v>0</v>
      </c>
      <c r="K10" s="150">
        <f t="shared" si="21"/>
        <v>1130500</v>
      </c>
      <c r="L10" s="128"/>
      <c r="M10" s="125">
        <f t="shared" si="3"/>
        <v>142500</v>
      </c>
      <c r="N10" s="125">
        <f t="shared" si="4"/>
        <v>175750</v>
      </c>
      <c r="O10" s="125">
        <f t="shared" si="5"/>
        <v>0</v>
      </c>
      <c r="P10" s="125">
        <f t="shared" si="6"/>
        <v>0</v>
      </c>
      <c r="Q10" s="150">
        <f t="shared" si="22"/>
        <v>631750</v>
      </c>
      <c r="S10" s="159">
        <v>8</v>
      </c>
      <c r="T10" s="130">
        <v>4</v>
      </c>
      <c r="U10" s="14">
        <f t="shared" si="23"/>
        <v>1.2</v>
      </c>
      <c r="V10" s="163">
        <f t="shared" si="24"/>
        <v>5.2</v>
      </c>
      <c r="W10" s="164">
        <f t="shared" si="25"/>
        <v>0.35</v>
      </c>
      <c r="X10" s="132"/>
      <c r="Y10" s="164">
        <f t="shared" si="26"/>
        <v>0.35</v>
      </c>
      <c r="Z10" s="132"/>
      <c r="AA10" s="136"/>
      <c r="AC10" s="167">
        <f t="shared" si="7"/>
        <v>617500</v>
      </c>
      <c r="AD10" s="125">
        <f t="shared" si="8"/>
        <v>0</v>
      </c>
      <c r="AE10" s="125">
        <f t="shared" si="9"/>
        <v>0</v>
      </c>
      <c r="AF10" s="125">
        <f t="shared" si="10"/>
        <v>0</v>
      </c>
      <c r="AG10" s="125">
        <f t="shared" si="11"/>
        <v>117325</v>
      </c>
      <c r="AH10" s="170">
        <f t="shared" si="27"/>
        <v>734825</v>
      </c>
      <c r="AI10" s="167">
        <f t="shared" si="12"/>
        <v>92625</v>
      </c>
      <c r="AJ10" s="125">
        <f t="shared" si="13"/>
        <v>114237.5</v>
      </c>
      <c r="AK10" s="125">
        <f t="shared" si="14"/>
        <v>0</v>
      </c>
      <c r="AL10" s="172">
        <f t="shared" si="15"/>
        <v>0</v>
      </c>
      <c r="AM10" s="8"/>
      <c r="AN10" s="125">
        <f>MAX(MIN((D10-MAX(0,SUM(M10:O10)))*IFERROR(1-T10/S10,0)*0.7,használat!$H$22),0)</f>
        <v>112418.25</v>
      </c>
      <c r="AO10" s="150">
        <f t="shared" si="28"/>
        <v>523055.75</v>
      </c>
      <c r="AQ10" s="167">
        <f t="shared" si="16"/>
        <v>-395675</v>
      </c>
      <c r="AR10" s="174">
        <f t="shared" si="29"/>
        <v>-0.35</v>
      </c>
      <c r="AS10" s="179"/>
      <c r="AT10" s="125">
        <f t="shared" si="17"/>
        <v>-108694.25</v>
      </c>
      <c r="AU10" s="181">
        <f t="shared" si="30"/>
        <v>-0.17205263157894737</v>
      </c>
      <c r="AV10" s="10">
        <f>IFERROR($AT10*3/($Q10*12),0)</f>
        <v>-4.3013157894736843E-2</v>
      </c>
      <c r="AW10" s="10">
        <f t="shared" si="32"/>
        <v>-7.2179824561403511E-2</v>
      </c>
      <c r="AX10" s="10">
        <f t="shared" si="33"/>
        <v>-0.10134649122807017</v>
      </c>
      <c r="AY10" s="10">
        <f t="shared" si="34"/>
        <v>-0.13051315789473683</v>
      </c>
    </row>
    <row r="11" spans="2:51" x14ac:dyDescent="0.2">
      <c r="B11" s="145"/>
      <c r="C11" s="126"/>
      <c r="D11" s="128"/>
      <c r="E11" s="128"/>
      <c r="F11" s="128"/>
      <c r="G11" s="128"/>
      <c r="H11" s="125">
        <f t="shared" si="0"/>
        <v>0</v>
      </c>
      <c r="I11" s="125">
        <f t="shared" si="1"/>
        <v>0</v>
      </c>
      <c r="J11" s="125">
        <f t="shared" si="2"/>
        <v>0</v>
      </c>
      <c r="K11" s="150">
        <f t="shared" si="21"/>
        <v>0</v>
      </c>
      <c r="L11" s="128"/>
      <c r="M11" s="125">
        <f t="shared" si="3"/>
        <v>0</v>
      </c>
      <c r="N11" s="125">
        <f t="shared" si="4"/>
        <v>0</v>
      </c>
      <c r="O11" s="125">
        <f t="shared" si="5"/>
        <v>0</v>
      </c>
      <c r="P11" s="125">
        <f t="shared" si="6"/>
        <v>0</v>
      </c>
      <c r="Q11" s="150">
        <f t="shared" si="22"/>
        <v>0</v>
      </c>
      <c r="S11" s="159">
        <v>8</v>
      </c>
      <c r="T11" s="130">
        <v>4</v>
      </c>
      <c r="U11" s="14">
        <f t="shared" si="23"/>
        <v>1.2</v>
      </c>
      <c r="V11" s="163">
        <f t="shared" si="24"/>
        <v>5.2</v>
      </c>
      <c r="W11" s="164">
        <f t="shared" si="25"/>
        <v>0.35</v>
      </c>
      <c r="X11" s="132"/>
      <c r="Y11" s="164">
        <f t="shared" si="26"/>
        <v>0.35</v>
      </c>
      <c r="Z11" s="132"/>
      <c r="AA11" s="136"/>
      <c r="AC11" s="167">
        <f t="shared" si="7"/>
        <v>0</v>
      </c>
      <c r="AD11" s="125">
        <f t="shared" si="8"/>
        <v>0</v>
      </c>
      <c r="AE11" s="125">
        <f t="shared" si="9"/>
        <v>0</v>
      </c>
      <c r="AF11" s="125">
        <f t="shared" si="10"/>
        <v>0</v>
      </c>
      <c r="AG11" s="125">
        <f t="shared" si="11"/>
        <v>0</v>
      </c>
      <c r="AH11" s="170">
        <f t="shared" si="27"/>
        <v>0</v>
      </c>
      <c r="AI11" s="167">
        <f t="shared" si="12"/>
        <v>0</v>
      </c>
      <c r="AJ11" s="125">
        <f t="shared" si="13"/>
        <v>0</v>
      </c>
      <c r="AK11" s="125">
        <f t="shared" si="14"/>
        <v>0</v>
      </c>
      <c r="AL11" s="172">
        <f t="shared" si="15"/>
        <v>0</v>
      </c>
      <c r="AM11" s="8"/>
      <c r="AN11" s="125">
        <f>MAX(MIN((D11-MAX(0,SUM(M11:O11)))*IFERROR(1-T11/S11,0)*0.7,használat!$H$22),0)</f>
        <v>0</v>
      </c>
      <c r="AO11" s="150">
        <f t="shared" si="28"/>
        <v>0</v>
      </c>
      <c r="AQ11" s="167">
        <f t="shared" si="16"/>
        <v>0</v>
      </c>
      <c r="AR11" s="174">
        <f t="shared" si="29"/>
        <v>0</v>
      </c>
      <c r="AS11" s="179"/>
      <c r="AT11" s="125">
        <f t="shared" si="17"/>
        <v>0</v>
      </c>
      <c r="AU11" s="181">
        <f t="shared" si="30"/>
        <v>0</v>
      </c>
      <c r="AV11" s="10">
        <f t="shared" si="18"/>
        <v>0</v>
      </c>
      <c r="AW11" s="10">
        <f t="shared" si="32"/>
        <v>0</v>
      </c>
      <c r="AX11" s="10">
        <f t="shared" si="33"/>
        <v>0</v>
      </c>
      <c r="AY11" s="10">
        <f t="shared" si="34"/>
        <v>0</v>
      </c>
    </row>
    <row r="12" spans="2:51" x14ac:dyDescent="0.2">
      <c r="B12" s="145"/>
      <c r="C12" s="126"/>
      <c r="D12" s="128"/>
      <c r="E12" s="128"/>
      <c r="F12" s="128"/>
      <c r="G12" s="128"/>
      <c r="H12" s="125">
        <f t="shared" si="0"/>
        <v>0</v>
      </c>
      <c r="I12" s="125">
        <f t="shared" si="1"/>
        <v>0</v>
      </c>
      <c r="J12" s="125">
        <f t="shared" si="2"/>
        <v>0</v>
      </c>
      <c r="K12" s="150">
        <f t="shared" si="21"/>
        <v>0</v>
      </c>
      <c r="L12" s="128"/>
      <c r="M12" s="125">
        <f t="shared" si="3"/>
        <v>0</v>
      </c>
      <c r="N12" s="125">
        <f t="shared" si="4"/>
        <v>0</v>
      </c>
      <c r="O12" s="125">
        <f t="shared" si="5"/>
        <v>0</v>
      </c>
      <c r="P12" s="125">
        <f t="shared" si="6"/>
        <v>0</v>
      </c>
      <c r="Q12" s="150">
        <f t="shared" si="22"/>
        <v>0</v>
      </c>
      <c r="S12" s="159">
        <v>8</v>
      </c>
      <c r="T12" s="130">
        <v>4</v>
      </c>
      <c r="U12" s="14">
        <f t="shared" si="23"/>
        <v>1.2</v>
      </c>
      <c r="V12" s="163">
        <f t="shared" si="24"/>
        <v>5.2</v>
      </c>
      <c r="W12" s="164">
        <f t="shared" si="25"/>
        <v>0.35</v>
      </c>
      <c r="X12" s="132"/>
      <c r="Y12" s="164">
        <f t="shared" si="26"/>
        <v>0.35</v>
      </c>
      <c r="Z12" s="132"/>
      <c r="AA12" s="136"/>
      <c r="AC12" s="167">
        <f t="shared" si="7"/>
        <v>0</v>
      </c>
      <c r="AD12" s="125">
        <f t="shared" si="8"/>
        <v>0</v>
      </c>
      <c r="AE12" s="125">
        <f t="shared" si="9"/>
        <v>0</v>
      </c>
      <c r="AF12" s="125">
        <f t="shared" si="10"/>
        <v>0</v>
      </c>
      <c r="AG12" s="125">
        <f t="shared" si="11"/>
        <v>0</v>
      </c>
      <c r="AH12" s="170">
        <f t="shared" si="27"/>
        <v>0</v>
      </c>
      <c r="AI12" s="167">
        <f t="shared" si="12"/>
        <v>0</v>
      </c>
      <c r="AJ12" s="125">
        <f t="shared" si="13"/>
        <v>0</v>
      </c>
      <c r="AK12" s="125">
        <f t="shared" si="14"/>
        <v>0</v>
      </c>
      <c r="AL12" s="172">
        <f t="shared" si="15"/>
        <v>0</v>
      </c>
      <c r="AM12" s="8"/>
      <c r="AN12" s="125">
        <f>MAX(MIN((D12-MAX(0,SUM(M12:O12)))*IFERROR(1-T12/S12,0)*0.7,használat!$H$22),0)</f>
        <v>0</v>
      </c>
      <c r="AO12" s="150">
        <f t="shared" si="28"/>
        <v>0</v>
      </c>
      <c r="AQ12" s="167">
        <f t="shared" si="16"/>
        <v>0</v>
      </c>
      <c r="AR12" s="174">
        <f t="shared" si="29"/>
        <v>0</v>
      </c>
      <c r="AS12" s="179"/>
      <c r="AT12" s="125">
        <f t="shared" si="17"/>
        <v>0</v>
      </c>
      <c r="AU12" s="181">
        <f t="shared" si="30"/>
        <v>0</v>
      </c>
      <c r="AV12" s="10">
        <f t="shared" si="18"/>
        <v>0</v>
      </c>
      <c r="AW12" s="10">
        <f t="shared" si="32"/>
        <v>0</v>
      </c>
      <c r="AX12" s="10">
        <f t="shared" si="33"/>
        <v>0</v>
      </c>
      <c r="AY12" s="10">
        <f t="shared" si="34"/>
        <v>0</v>
      </c>
    </row>
    <row r="13" spans="2:51" x14ac:dyDescent="0.2">
      <c r="B13" s="145"/>
      <c r="C13" s="126"/>
      <c r="D13" s="128"/>
      <c r="E13" s="128"/>
      <c r="F13" s="128"/>
      <c r="G13" s="128"/>
      <c r="H13" s="125">
        <f t="shared" si="0"/>
        <v>0</v>
      </c>
      <c r="I13" s="125">
        <f t="shared" si="1"/>
        <v>0</v>
      </c>
      <c r="J13" s="125">
        <f t="shared" si="2"/>
        <v>0</v>
      </c>
      <c r="K13" s="150">
        <f t="shared" si="21"/>
        <v>0</v>
      </c>
      <c r="L13" s="128"/>
      <c r="M13" s="125">
        <f t="shared" si="3"/>
        <v>0</v>
      </c>
      <c r="N13" s="125">
        <f t="shared" si="4"/>
        <v>0</v>
      </c>
      <c r="O13" s="125">
        <f t="shared" si="5"/>
        <v>0</v>
      </c>
      <c r="P13" s="125">
        <f t="shared" si="6"/>
        <v>0</v>
      </c>
      <c r="Q13" s="150">
        <f t="shared" si="22"/>
        <v>0</v>
      </c>
      <c r="S13" s="159">
        <v>8</v>
      </c>
      <c r="T13" s="130">
        <v>4</v>
      </c>
      <c r="U13" s="14">
        <f t="shared" si="23"/>
        <v>1.2</v>
      </c>
      <c r="V13" s="163">
        <f t="shared" si="24"/>
        <v>5.2</v>
      </c>
      <c r="W13" s="164">
        <f t="shared" si="25"/>
        <v>0.35</v>
      </c>
      <c r="X13" s="132"/>
      <c r="Y13" s="164">
        <f t="shared" si="26"/>
        <v>0.35</v>
      </c>
      <c r="Z13" s="132"/>
      <c r="AA13" s="136"/>
      <c r="AC13" s="167">
        <f t="shared" si="7"/>
        <v>0</v>
      </c>
      <c r="AD13" s="125">
        <f t="shared" si="8"/>
        <v>0</v>
      </c>
      <c r="AE13" s="125">
        <f t="shared" si="9"/>
        <v>0</v>
      </c>
      <c r="AF13" s="125">
        <f t="shared" si="10"/>
        <v>0</v>
      </c>
      <c r="AG13" s="125">
        <f t="shared" si="11"/>
        <v>0</v>
      </c>
      <c r="AH13" s="170">
        <f t="shared" si="27"/>
        <v>0</v>
      </c>
      <c r="AI13" s="167">
        <f t="shared" si="12"/>
        <v>0</v>
      </c>
      <c r="AJ13" s="125">
        <f t="shared" si="13"/>
        <v>0</v>
      </c>
      <c r="AK13" s="125">
        <f t="shared" si="14"/>
        <v>0</v>
      </c>
      <c r="AL13" s="172">
        <f t="shared" si="15"/>
        <v>0</v>
      </c>
      <c r="AM13" s="8"/>
      <c r="AN13" s="125">
        <f>MAX(MIN((D13-MAX(0,SUM(M13:O13)))*IFERROR(1-T13/S13,0)*0.7,használat!$H$22),0)</f>
        <v>0</v>
      </c>
      <c r="AO13" s="150">
        <f t="shared" si="28"/>
        <v>0</v>
      </c>
      <c r="AQ13" s="167">
        <f t="shared" si="16"/>
        <v>0</v>
      </c>
      <c r="AR13" s="174">
        <f t="shared" si="29"/>
        <v>0</v>
      </c>
      <c r="AS13" s="179"/>
      <c r="AT13" s="125">
        <f t="shared" si="17"/>
        <v>0</v>
      </c>
      <c r="AU13" s="181">
        <f t="shared" si="30"/>
        <v>0</v>
      </c>
      <c r="AV13" s="10">
        <f t="shared" si="18"/>
        <v>0</v>
      </c>
      <c r="AW13" s="10">
        <f t="shared" si="32"/>
        <v>0</v>
      </c>
      <c r="AX13" s="10">
        <f t="shared" si="33"/>
        <v>0</v>
      </c>
      <c r="AY13" s="10">
        <f t="shared" si="34"/>
        <v>0</v>
      </c>
    </row>
    <row r="14" spans="2:51" x14ac:dyDescent="0.2">
      <c r="B14" s="145"/>
      <c r="C14" s="126"/>
      <c r="D14" s="128"/>
      <c r="E14" s="128"/>
      <c r="F14" s="128"/>
      <c r="G14" s="128"/>
      <c r="H14" s="125">
        <f t="shared" si="0"/>
        <v>0</v>
      </c>
      <c r="I14" s="125">
        <f t="shared" si="1"/>
        <v>0</v>
      </c>
      <c r="J14" s="125">
        <f t="shared" si="2"/>
        <v>0</v>
      </c>
      <c r="K14" s="150">
        <f t="shared" si="21"/>
        <v>0</v>
      </c>
      <c r="L14" s="128"/>
      <c r="M14" s="125">
        <f t="shared" si="3"/>
        <v>0</v>
      </c>
      <c r="N14" s="125">
        <f t="shared" si="4"/>
        <v>0</v>
      </c>
      <c r="O14" s="125">
        <f t="shared" si="5"/>
        <v>0</v>
      </c>
      <c r="P14" s="125">
        <f t="shared" si="6"/>
        <v>0</v>
      </c>
      <c r="Q14" s="150">
        <f t="shared" si="22"/>
        <v>0</v>
      </c>
      <c r="S14" s="159">
        <v>8</v>
      </c>
      <c r="T14" s="130">
        <v>4</v>
      </c>
      <c r="U14" s="14">
        <f t="shared" si="23"/>
        <v>1.2</v>
      </c>
      <c r="V14" s="163">
        <f t="shared" si="24"/>
        <v>5.2</v>
      </c>
      <c r="W14" s="164">
        <f t="shared" si="25"/>
        <v>0.35</v>
      </c>
      <c r="X14" s="132"/>
      <c r="Y14" s="164">
        <f t="shared" si="26"/>
        <v>0.35</v>
      </c>
      <c r="Z14" s="132"/>
      <c r="AA14" s="136"/>
      <c r="AC14" s="167">
        <f t="shared" si="7"/>
        <v>0</v>
      </c>
      <c r="AD14" s="125">
        <f t="shared" si="8"/>
        <v>0</v>
      </c>
      <c r="AE14" s="125">
        <f t="shared" si="9"/>
        <v>0</v>
      </c>
      <c r="AF14" s="125">
        <f t="shared" si="10"/>
        <v>0</v>
      </c>
      <c r="AG14" s="125">
        <f t="shared" si="11"/>
        <v>0</v>
      </c>
      <c r="AH14" s="170">
        <f t="shared" si="27"/>
        <v>0</v>
      </c>
      <c r="AI14" s="167">
        <f t="shared" si="12"/>
        <v>0</v>
      </c>
      <c r="AJ14" s="125">
        <f t="shared" si="13"/>
        <v>0</v>
      </c>
      <c r="AK14" s="125">
        <f t="shared" si="14"/>
        <v>0</v>
      </c>
      <c r="AL14" s="172">
        <f t="shared" si="15"/>
        <v>0</v>
      </c>
      <c r="AM14" s="8"/>
      <c r="AN14" s="125">
        <f>MAX(MIN((D14-MAX(0,SUM(M14:O14)))*IFERROR(1-T14/S14,0)*0.7,használat!$H$22),0)</f>
        <v>0</v>
      </c>
      <c r="AO14" s="150">
        <f t="shared" si="28"/>
        <v>0</v>
      </c>
      <c r="AQ14" s="167">
        <f t="shared" si="16"/>
        <v>0</v>
      </c>
      <c r="AR14" s="174">
        <f t="shared" si="29"/>
        <v>0</v>
      </c>
      <c r="AS14" s="179"/>
      <c r="AT14" s="125">
        <f t="shared" si="17"/>
        <v>0</v>
      </c>
      <c r="AU14" s="181">
        <f t="shared" si="30"/>
        <v>0</v>
      </c>
      <c r="AV14" s="10">
        <f t="shared" si="18"/>
        <v>0</v>
      </c>
      <c r="AW14" s="10">
        <f t="shared" si="32"/>
        <v>0</v>
      </c>
      <c r="AX14" s="10">
        <f t="shared" si="33"/>
        <v>0</v>
      </c>
      <c r="AY14" s="10">
        <f t="shared" si="34"/>
        <v>0</v>
      </c>
    </row>
    <row r="15" spans="2:51" x14ac:dyDescent="0.2">
      <c r="B15" s="145"/>
      <c r="C15" s="126"/>
      <c r="D15" s="128"/>
      <c r="E15" s="128"/>
      <c r="F15" s="128"/>
      <c r="G15" s="128"/>
      <c r="H15" s="125">
        <f t="shared" si="0"/>
        <v>0</v>
      </c>
      <c r="I15" s="125">
        <f t="shared" si="1"/>
        <v>0</v>
      </c>
      <c r="J15" s="125">
        <f t="shared" si="2"/>
        <v>0</v>
      </c>
      <c r="K15" s="150">
        <f t="shared" si="21"/>
        <v>0</v>
      </c>
      <c r="L15" s="128"/>
      <c r="M15" s="125">
        <f t="shared" si="3"/>
        <v>0</v>
      </c>
      <c r="N15" s="125">
        <f t="shared" si="4"/>
        <v>0</v>
      </c>
      <c r="O15" s="125">
        <f t="shared" si="5"/>
        <v>0</v>
      </c>
      <c r="P15" s="125">
        <f t="shared" si="6"/>
        <v>0</v>
      </c>
      <c r="Q15" s="150">
        <f t="shared" si="22"/>
        <v>0</v>
      </c>
      <c r="S15" s="159">
        <v>8</v>
      </c>
      <c r="T15" s="130">
        <v>4</v>
      </c>
      <c r="U15" s="14">
        <f t="shared" si="23"/>
        <v>1.2</v>
      </c>
      <c r="V15" s="163">
        <f t="shared" si="24"/>
        <v>5.2</v>
      </c>
      <c r="W15" s="164">
        <f t="shared" si="25"/>
        <v>0.35</v>
      </c>
      <c r="X15" s="132"/>
      <c r="Y15" s="164">
        <f t="shared" si="26"/>
        <v>0.35</v>
      </c>
      <c r="Z15" s="132"/>
      <c r="AA15" s="136"/>
      <c r="AC15" s="167">
        <f t="shared" si="7"/>
        <v>0</v>
      </c>
      <c r="AD15" s="125">
        <f t="shared" si="8"/>
        <v>0</v>
      </c>
      <c r="AE15" s="125">
        <f t="shared" si="9"/>
        <v>0</v>
      </c>
      <c r="AF15" s="125">
        <f t="shared" si="10"/>
        <v>0</v>
      </c>
      <c r="AG15" s="125">
        <f t="shared" si="11"/>
        <v>0</v>
      </c>
      <c r="AH15" s="170">
        <f t="shared" si="27"/>
        <v>0</v>
      </c>
      <c r="AI15" s="167">
        <f t="shared" si="12"/>
        <v>0</v>
      </c>
      <c r="AJ15" s="125">
        <f t="shared" si="13"/>
        <v>0</v>
      </c>
      <c r="AK15" s="125">
        <f t="shared" si="14"/>
        <v>0</v>
      </c>
      <c r="AL15" s="172">
        <f t="shared" si="15"/>
        <v>0</v>
      </c>
      <c r="AM15" s="8"/>
      <c r="AN15" s="125">
        <f>MAX(MIN((D15-MAX(0,SUM(M15:O15)))*IFERROR(1-T15/S15,0)*0.7,használat!$H$22),0)</f>
        <v>0</v>
      </c>
      <c r="AO15" s="150">
        <f t="shared" si="28"/>
        <v>0</v>
      </c>
      <c r="AQ15" s="167">
        <f t="shared" si="16"/>
        <v>0</v>
      </c>
      <c r="AR15" s="174">
        <f t="shared" si="29"/>
        <v>0</v>
      </c>
      <c r="AS15" s="179"/>
      <c r="AT15" s="125">
        <f t="shared" si="17"/>
        <v>0</v>
      </c>
      <c r="AU15" s="181">
        <f t="shared" si="30"/>
        <v>0</v>
      </c>
      <c r="AV15" s="10">
        <f t="shared" si="18"/>
        <v>0</v>
      </c>
      <c r="AW15" s="10">
        <f t="shared" si="32"/>
        <v>0</v>
      </c>
      <c r="AX15" s="10">
        <f t="shared" si="33"/>
        <v>0</v>
      </c>
      <c r="AY15" s="10">
        <f t="shared" si="34"/>
        <v>0</v>
      </c>
    </row>
    <row r="16" spans="2:51" x14ac:dyDescent="0.2">
      <c r="B16" s="145"/>
      <c r="C16" s="126"/>
      <c r="D16" s="128"/>
      <c r="E16" s="128"/>
      <c r="F16" s="128"/>
      <c r="G16" s="128"/>
      <c r="H16" s="125">
        <f t="shared" si="0"/>
        <v>0</v>
      </c>
      <c r="I16" s="125">
        <f t="shared" si="1"/>
        <v>0</v>
      </c>
      <c r="J16" s="125">
        <f t="shared" si="2"/>
        <v>0</v>
      </c>
      <c r="K16" s="150">
        <f t="shared" si="21"/>
        <v>0</v>
      </c>
      <c r="L16" s="128"/>
      <c r="M16" s="125">
        <f t="shared" si="3"/>
        <v>0</v>
      </c>
      <c r="N16" s="125">
        <f t="shared" si="4"/>
        <v>0</v>
      </c>
      <c r="O16" s="125">
        <f t="shared" si="5"/>
        <v>0</v>
      </c>
      <c r="P16" s="125">
        <f t="shared" si="6"/>
        <v>0</v>
      </c>
      <c r="Q16" s="150">
        <f t="shared" si="22"/>
        <v>0</v>
      </c>
      <c r="S16" s="159">
        <v>8</v>
      </c>
      <c r="T16" s="130">
        <v>4</v>
      </c>
      <c r="U16" s="14">
        <f t="shared" si="23"/>
        <v>1.2</v>
      </c>
      <c r="V16" s="163">
        <f t="shared" si="24"/>
        <v>5.2</v>
      </c>
      <c r="W16" s="164">
        <f t="shared" si="25"/>
        <v>0.35</v>
      </c>
      <c r="X16" s="132"/>
      <c r="Y16" s="164">
        <f t="shared" si="26"/>
        <v>0.35</v>
      </c>
      <c r="Z16" s="132"/>
      <c r="AA16" s="136"/>
      <c r="AC16" s="167">
        <f t="shared" si="7"/>
        <v>0</v>
      </c>
      <c r="AD16" s="125">
        <f t="shared" si="8"/>
        <v>0</v>
      </c>
      <c r="AE16" s="125">
        <f t="shared" si="9"/>
        <v>0</v>
      </c>
      <c r="AF16" s="125">
        <f t="shared" si="10"/>
        <v>0</v>
      </c>
      <c r="AG16" s="125">
        <f t="shared" si="11"/>
        <v>0</v>
      </c>
      <c r="AH16" s="170">
        <f t="shared" si="27"/>
        <v>0</v>
      </c>
      <c r="AI16" s="167">
        <f t="shared" si="12"/>
        <v>0</v>
      </c>
      <c r="AJ16" s="125">
        <f t="shared" si="13"/>
        <v>0</v>
      </c>
      <c r="AK16" s="125">
        <f t="shared" si="14"/>
        <v>0</v>
      </c>
      <c r="AL16" s="172">
        <f t="shared" si="15"/>
        <v>0</v>
      </c>
      <c r="AM16" s="8"/>
      <c r="AN16" s="125">
        <f>MAX(MIN((D16-MAX(0,SUM(M16:O16)))*IFERROR(1-T16/S16,0)*0.7,használat!$H$22),0)</f>
        <v>0</v>
      </c>
      <c r="AO16" s="150">
        <f t="shared" si="28"/>
        <v>0</v>
      </c>
      <c r="AQ16" s="167">
        <f t="shared" si="16"/>
        <v>0</v>
      </c>
      <c r="AR16" s="174">
        <f t="shared" si="29"/>
        <v>0</v>
      </c>
      <c r="AS16" s="179"/>
      <c r="AT16" s="125">
        <f t="shared" si="17"/>
        <v>0</v>
      </c>
      <c r="AU16" s="181">
        <f t="shared" si="30"/>
        <v>0</v>
      </c>
      <c r="AV16" s="10">
        <f t="shared" si="18"/>
        <v>0</v>
      </c>
      <c r="AW16" s="10">
        <f t="shared" si="32"/>
        <v>0</v>
      </c>
      <c r="AX16" s="10">
        <f t="shared" si="33"/>
        <v>0</v>
      </c>
      <c r="AY16" s="10">
        <f t="shared" si="34"/>
        <v>0</v>
      </c>
    </row>
    <row r="17" spans="2:51" x14ac:dyDescent="0.2">
      <c r="B17" s="145"/>
      <c r="C17" s="126"/>
      <c r="D17" s="128"/>
      <c r="E17" s="128"/>
      <c r="F17" s="128"/>
      <c r="G17" s="128"/>
      <c r="H17" s="125">
        <f t="shared" si="0"/>
        <v>0</v>
      </c>
      <c r="I17" s="125">
        <f t="shared" si="1"/>
        <v>0</v>
      </c>
      <c r="J17" s="125">
        <f t="shared" si="2"/>
        <v>0</v>
      </c>
      <c r="K17" s="150">
        <f t="shared" si="21"/>
        <v>0</v>
      </c>
      <c r="L17" s="128"/>
      <c r="M17" s="125">
        <f t="shared" si="3"/>
        <v>0</v>
      </c>
      <c r="N17" s="125">
        <f t="shared" si="4"/>
        <v>0</v>
      </c>
      <c r="O17" s="125">
        <f t="shared" si="5"/>
        <v>0</v>
      </c>
      <c r="P17" s="125">
        <f t="shared" si="6"/>
        <v>0</v>
      </c>
      <c r="Q17" s="150">
        <f t="shared" si="22"/>
        <v>0</v>
      </c>
      <c r="S17" s="159">
        <v>8</v>
      </c>
      <c r="T17" s="130">
        <v>4</v>
      </c>
      <c r="U17" s="14">
        <f t="shared" si="23"/>
        <v>1.2</v>
      </c>
      <c r="V17" s="163">
        <f t="shared" si="24"/>
        <v>5.2</v>
      </c>
      <c r="W17" s="164">
        <f t="shared" si="25"/>
        <v>0.35</v>
      </c>
      <c r="X17" s="132"/>
      <c r="Y17" s="164">
        <f t="shared" si="26"/>
        <v>0.35</v>
      </c>
      <c r="Z17" s="132"/>
      <c r="AA17" s="136"/>
      <c r="AC17" s="167">
        <f t="shared" si="7"/>
        <v>0</v>
      </c>
      <c r="AD17" s="125">
        <f t="shared" si="8"/>
        <v>0</v>
      </c>
      <c r="AE17" s="125">
        <f t="shared" si="9"/>
        <v>0</v>
      </c>
      <c r="AF17" s="125">
        <f t="shared" si="10"/>
        <v>0</v>
      </c>
      <c r="AG17" s="125">
        <f t="shared" si="11"/>
        <v>0</v>
      </c>
      <c r="AH17" s="170">
        <f t="shared" si="27"/>
        <v>0</v>
      </c>
      <c r="AI17" s="167">
        <f t="shared" si="12"/>
        <v>0</v>
      </c>
      <c r="AJ17" s="125">
        <f t="shared" si="13"/>
        <v>0</v>
      </c>
      <c r="AK17" s="125">
        <f t="shared" si="14"/>
        <v>0</v>
      </c>
      <c r="AL17" s="172">
        <f t="shared" si="15"/>
        <v>0</v>
      </c>
      <c r="AM17" s="8"/>
      <c r="AN17" s="125">
        <f>MAX(MIN((D17-MAX(0,SUM(M17:O17)))*IFERROR(1-T17/S17,0)*0.7,használat!$H$22),0)</f>
        <v>0</v>
      </c>
      <c r="AO17" s="150">
        <f t="shared" si="28"/>
        <v>0</v>
      </c>
      <c r="AQ17" s="167">
        <f t="shared" si="16"/>
        <v>0</v>
      </c>
      <c r="AR17" s="174">
        <f t="shared" si="29"/>
        <v>0</v>
      </c>
      <c r="AS17" s="179"/>
      <c r="AT17" s="125">
        <f t="shared" si="17"/>
        <v>0</v>
      </c>
      <c r="AU17" s="181">
        <f t="shared" si="30"/>
        <v>0</v>
      </c>
      <c r="AV17" s="10">
        <f t="shared" si="18"/>
        <v>0</v>
      </c>
      <c r="AW17" s="10">
        <f t="shared" si="32"/>
        <v>0</v>
      </c>
      <c r="AX17" s="10">
        <f t="shared" si="33"/>
        <v>0</v>
      </c>
      <c r="AY17" s="10">
        <f t="shared" si="34"/>
        <v>0</v>
      </c>
    </row>
    <row r="18" spans="2:51" x14ac:dyDescent="0.2">
      <c r="B18" s="145"/>
      <c r="C18" s="126"/>
      <c r="D18" s="128"/>
      <c r="E18" s="128"/>
      <c r="F18" s="128"/>
      <c r="G18" s="128"/>
      <c r="H18" s="125">
        <f t="shared" si="0"/>
        <v>0</v>
      </c>
      <c r="I18" s="125">
        <f t="shared" si="1"/>
        <v>0</v>
      </c>
      <c r="J18" s="125">
        <f t="shared" si="2"/>
        <v>0</v>
      </c>
      <c r="K18" s="150">
        <f t="shared" si="21"/>
        <v>0</v>
      </c>
      <c r="L18" s="128"/>
      <c r="M18" s="125">
        <f t="shared" si="3"/>
        <v>0</v>
      </c>
      <c r="N18" s="125">
        <f t="shared" si="4"/>
        <v>0</v>
      </c>
      <c r="O18" s="125">
        <f t="shared" si="5"/>
        <v>0</v>
      </c>
      <c r="P18" s="125">
        <f t="shared" si="6"/>
        <v>0</v>
      </c>
      <c r="Q18" s="150">
        <f t="shared" si="22"/>
        <v>0</v>
      </c>
      <c r="S18" s="159">
        <v>8</v>
      </c>
      <c r="T18" s="130">
        <v>4</v>
      </c>
      <c r="U18" s="14">
        <f t="shared" si="23"/>
        <v>1.2</v>
      </c>
      <c r="V18" s="163">
        <f t="shared" si="24"/>
        <v>5.2</v>
      </c>
      <c r="W18" s="164">
        <f t="shared" si="25"/>
        <v>0.35</v>
      </c>
      <c r="X18" s="132"/>
      <c r="Y18" s="164">
        <f t="shared" si="26"/>
        <v>0.35</v>
      </c>
      <c r="Z18" s="132"/>
      <c r="AA18" s="136"/>
      <c r="AC18" s="167">
        <f t="shared" si="7"/>
        <v>0</v>
      </c>
      <c r="AD18" s="125">
        <f t="shared" si="8"/>
        <v>0</v>
      </c>
      <c r="AE18" s="125">
        <f t="shared" si="9"/>
        <v>0</v>
      </c>
      <c r="AF18" s="125">
        <f t="shared" si="10"/>
        <v>0</v>
      </c>
      <c r="AG18" s="125">
        <f t="shared" si="11"/>
        <v>0</v>
      </c>
      <c r="AH18" s="170">
        <f t="shared" si="27"/>
        <v>0</v>
      </c>
      <c r="AI18" s="167">
        <f t="shared" si="12"/>
        <v>0</v>
      </c>
      <c r="AJ18" s="125">
        <f t="shared" si="13"/>
        <v>0</v>
      </c>
      <c r="AK18" s="125">
        <f t="shared" si="14"/>
        <v>0</v>
      </c>
      <c r="AL18" s="172">
        <f t="shared" si="15"/>
        <v>0</v>
      </c>
      <c r="AM18" s="8"/>
      <c r="AN18" s="125">
        <f>MAX(MIN((D18-MAX(0,SUM(M18:O18)))*IFERROR(1-T18/S18,0)*0.7,használat!$H$22),0)</f>
        <v>0</v>
      </c>
      <c r="AO18" s="150">
        <f t="shared" si="28"/>
        <v>0</v>
      </c>
      <c r="AQ18" s="167">
        <f t="shared" si="16"/>
        <v>0</v>
      </c>
      <c r="AR18" s="174">
        <f t="shared" si="29"/>
        <v>0</v>
      </c>
      <c r="AS18" s="179"/>
      <c r="AT18" s="125">
        <f t="shared" si="17"/>
        <v>0</v>
      </c>
      <c r="AU18" s="181">
        <f t="shared" si="30"/>
        <v>0</v>
      </c>
      <c r="AV18" s="10">
        <f t="shared" si="18"/>
        <v>0</v>
      </c>
      <c r="AW18" s="10">
        <f t="shared" si="32"/>
        <v>0</v>
      </c>
      <c r="AX18" s="10">
        <f t="shared" si="33"/>
        <v>0</v>
      </c>
      <c r="AY18" s="10">
        <f t="shared" si="34"/>
        <v>0</v>
      </c>
    </row>
    <row r="19" spans="2:51" x14ac:dyDescent="0.2">
      <c r="B19" s="145"/>
      <c r="C19" s="126"/>
      <c r="D19" s="128"/>
      <c r="E19" s="128"/>
      <c r="F19" s="128"/>
      <c r="G19" s="128"/>
      <c r="H19" s="125">
        <f t="shared" si="0"/>
        <v>0</v>
      </c>
      <c r="I19" s="125">
        <f t="shared" si="1"/>
        <v>0</v>
      </c>
      <c r="J19" s="125">
        <f t="shared" si="2"/>
        <v>0</v>
      </c>
      <c r="K19" s="150">
        <f t="shared" ref="K19:K28" si="35">SUM(D19:J19)</f>
        <v>0</v>
      </c>
      <c r="L19" s="128"/>
      <c r="M19" s="125">
        <f t="shared" si="3"/>
        <v>0</v>
      </c>
      <c r="N19" s="125">
        <f t="shared" si="4"/>
        <v>0</v>
      </c>
      <c r="O19" s="125">
        <f t="shared" si="5"/>
        <v>0</v>
      </c>
      <c r="P19" s="125">
        <f t="shared" si="6"/>
        <v>0</v>
      </c>
      <c r="Q19" s="150">
        <f t="shared" ref="Q19:Q28" si="36">SUM(D19:G19)-MAX(0,SUM(M19:O19))-P19</f>
        <v>0</v>
      </c>
      <c r="S19" s="159">
        <v>8</v>
      </c>
      <c r="T19" s="130">
        <v>4</v>
      </c>
      <c r="U19" s="14">
        <f t="shared" si="23"/>
        <v>1.2</v>
      </c>
      <c r="V19" s="163">
        <f t="shared" ref="V19:V28" si="37">SUM(T19:U19)</f>
        <v>5.2</v>
      </c>
      <c r="W19" s="164">
        <f t="shared" si="25"/>
        <v>0.35</v>
      </c>
      <c r="X19" s="132"/>
      <c r="Y19" s="164">
        <f t="shared" si="26"/>
        <v>0.35</v>
      </c>
      <c r="Z19" s="132"/>
      <c r="AA19" s="136"/>
      <c r="AC19" s="167">
        <f t="shared" si="7"/>
        <v>0</v>
      </c>
      <c r="AD19" s="125">
        <f t="shared" si="8"/>
        <v>0</v>
      </c>
      <c r="AE19" s="125">
        <f t="shared" si="9"/>
        <v>0</v>
      </c>
      <c r="AF19" s="125">
        <f t="shared" si="10"/>
        <v>0</v>
      </c>
      <c r="AG19" s="125">
        <f t="shared" si="11"/>
        <v>0</v>
      </c>
      <c r="AH19" s="170">
        <f t="shared" ref="AH19:AH28" si="38">SUM(AC19:AG19)</f>
        <v>0</v>
      </c>
      <c r="AI19" s="167">
        <f t="shared" si="12"/>
        <v>0</v>
      </c>
      <c r="AJ19" s="125">
        <f t="shared" si="13"/>
        <v>0</v>
      </c>
      <c r="AK19" s="125">
        <f t="shared" si="14"/>
        <v>0</v>
      </c>
      <c r="AL19" s="172">
        <f t="shared" si="15"/>
        <v>0</v>
      </c>
      <c r="AM19" s="8"/>
      <c r="AN19" s="125">
        <f>MAX(MIN((D19-MAX(0,SUM(M19:O19)))*IFERROR(1-T19/S19,0)*0.7,használat!$H$22),0)</f>
        <v>0</v>
      </c>
      <c r="AO19" s="150">
        <f t="shared" si="28"/>
        <v>0</v>
      </c>
      <c r="AQ19" s="167">
        <f t="shared" si="16"/>
        <v>0</v>
      </c>
      <c r="AR19" s="174">
        <f t="shared" si="29"/>
        <v>0</v>
      </c>
      <c r="AS19" s="179"/>
      <c r="AT19" s="125">
        <f t="shared" si="17"/>
        <v>0</v>
      </c>
      <c r="AU19" s="181">
        <f t="shared" si="30"/>
        <v>0</v>
      </c>
      <c r="AV19" s="10">
        <f t="shared" si="18"/>
        <v>0</v>
      </c>
      <c r="AW19" s="10">
        <f t="shared" si="32"/>
        <v>0</v>
      </c>
      <c r="AX19" s="10">
        <f t="shared" si="33"/>
        <v>0</v>
      </c>
      <c r="AY19" s="10">
        <f t="shared" si="34"/>
        <v>0</v>
      </c>
    </row>
    <row r="20" spans="2:51" x14ac:dyDescent="0.2">
      <c r="B20" s="145"/>
      <c r="C20" s="126"/>
      <c r="D20" s="128"/>
      <c r="E20" s="128"/>
      <c r="F20" s="128"/>
      <c r="G20" s="128"/>
      <c r="H20" s="125">
        <f t="shared" si="0"/>
        <v>0</v>
      </c>
      <c r="I20" s="125">
        <f t="shared" si="1"/>
        <v>0</v>
      </c>
      <c r="J20" s="125">
        <f t="shared" si="2"/>
        <v>0</v>
      </c>
      <c r="K20" s="150">
        <f t="shared" si="35"/>
        <v>0</v>
      </c>
      <c r="L20" s="128"/>
      <c r="M20" s="125">
        <f t="shared" si="3"/>
        <v>0</v>
      </c>
      <c r="N20" s="125">
        <f t="shared" si="4"/>
        <v>0</v>
      </c>
      <c r="O20" s="125">
        <f t="shared" si="5"/>
        <v>0</v>
      </c>
      <c r="P20" s="125">
        <f t="shared" si="6"/>
        <v>0</v>
      </c>
      <c r="Q20" s="150">
        <f t="shared" si="36"/>
        <v>0</v>
      </c>
      <c r="S20" s="159">
        <v>8</v>
      </c>
      <c r="T20" s="130">
        <v>4</v>
      </c>
      <c r="U20" s="14">
        <f t="shared" si="23"/>
        <v>1.2</v>
      </c>
      <c r="V20" s="163">
        <f t="shared" si="37"/>
        <v>5.2</v>
      </c>
      <c r="W20" s="164">
        <f t="shared" si="25"/>
        <v>0.35</v>
      </c>
      <c r="X20" s="132"/>
      <c r="Y20" s="164">
        <f t="shared" si="26"/>
        <v>0.35</v>
      </c>
      <c r="Z20" s="132"/>
      <c r="AA20" s="136"/>
      <c r="AC20" s="167">
        <f t="shared" si="7"/>
        <v>0</v>
      </c>
      <c r="AD20" s="125">
        <f t="shared" si="8"/>
        <v>0</v>
      </c>
      <c r="AE20" s="125">
        <f t="shared" si="9"/>
        <v>0</v>
      </c>
      <c r="AF20" s="125">
        <f t="shared" si="10"/>
        <v>0</v>
      </c>
      <c r="AG20" s="125">
        <f t="shared" si="11"/>
        <v>0</v>
      </c>
      <c r="AH20" s="170">
        <f t="shared" si="38"/>
        <v>0</v>
      </c>
      <c r="AI20" s="167">
        <f t="shared" si="12"/>
        <v>0</v>
      </c>
      <c r="AJ20" s="125">
        <f t="shared" si="13"/>
        <v>0</v>
      </c>
      <c r="AK20" s="125">
        <f t="shared" si="14"/>
        <v>0</v>
      </c>
      <c r="AL20" s="172">
        <f t="shared" si="15"/>
        <v>0</v>
      </c>
      <c r="AM20" s="8"/>
      <c r="AN20" s="125">
        <f>MAX(MIN((D20-MAX(0,SUM(M20:O20)))*IFERROR(1-T20/S20,0)*0.7,használat!$H$22),0)</f>
        <v>0</v>
      </c>
      <c r="AO20" s="150">
        <f t="shared" si="28"/>
        <v>0</v>
      </c>
      <c r="AQ20" s="167">
        <f t="shared" si="16"/>
        <v>0</v>
      </c>
      <c r="AR20" s="174">
        <f t="shared" si="29"/>
        <v>0</v>
      </c>
      <c r="AS20" s="179"/>
      <c r="AT20" s="125">
        <f t="shared" si="17"/>
        <v>0</v>
      </c>
      <c r="AU20" s="181">
        <f t="shared" si="30"/>
        <v>0</v>
      </c>
      <c r="AV20" s="10">
        <f t="shared" si="18"/>
        <v>0</v>
      </c>
      <c r="AW20" s="10">
        <f t="shared" si="32"/>
        <v>0</v>
      </c>
      <c r="AX20" s="10">
        <f t="shared" si="33"/>
        <v>0</v>
      </c>
      <c r="AY20" s="10">
        <f t="shared" si="34"/>
        <v>0</v>
      </c>
    </row>
    <row r="21" spans="2:51" x14ac:dyDescent="0.2">
      <c r="B21" s="145"/>
      <c r="C21" s="126"/>
      <c r="D21" s="128"/>
      <c r="E21" s="128"/>
      <c r="F21" s="128"/>
      <c r="G21" s="128"/>
      <c r="H21" s="125">
        <f t="shared" si="0"/>
        <v>0</v>
      </c>
      <c r="I21" s="125">
        <f t="shared" si="1"/>
        <v>0</v>
      </c>
      <c r="J21" s="125">
        <f t="shared" si="2"/>
        <v>0</v>
      </c>
      <c r="K21" s="150">
        <f t="shared" si="35"/>
        <v>0</v>
      </c>
      <c r="L21" s="128"/>
      <c r="M21" s="125">
        <f t="shared" si="3"/>
        <v>0</v>
      </c>
      <c r="N21" s="125">
        <f t="shared" si="4"/>
        <v>0</v>
      </c>
      <c r="O21" s="125">
        <f t="shared" si="5"/>
        <v>0</v>
      </c>
      <c r="P21" s="125">
        <f t="shared" si="6"/>
        <v>0</v>
      </c>
      <c r="Q21" s="150">
        <f t="shared" si="36"/>
        <v>0</v>
      </c>
      <c r="S21" s="159">
        <v>8</v>
      </c>
      <c r="T21" s="130">
        <v>4</v>
      </c>
      <c r="U21" s="14">
        <f t="shared" si="23"/>
        <v>1.2</v>
      </c>
      <c r="V21" s="163">
        <f t="shared" si="37"/>
        <v>5.2</v>
      </c>
      <c r="W21" s="164">
        <f t="shared" si="25"/>
        <v>0.35</v>
      </c>
      <c r="X21" s="132"/>
      <c r="Y21" s="164">
        <f t="shared" si="26"/>
        <v>0.35</v>
      </c>
      <c r="Z21" s="132"/>
      <c r="AA21" s="136"/>
      <c r="AC21" s="167">
        <f t="shared" si="7"/>
        <v>0</v>
      </c>
      <c r="AD21" s="125">
        <f t="shared" si="8"/>
        <v>0</v>
      </c>
      <c r="AE21" s="125">
        <f t="shared" si="9"/>
        <v>0</v>
      </c>
      <c r="AF21" s="125">
        <f t="shared" si="10"/>
        <v>0</v>
      </c>
      <c r="AG21" s="125">
        <f t="shared" si="11"/>
        <v>0</v>
      </c>
      <c r="AH21" s="170">
        <f t="shared" si="38"/>
        <v>0</v>
      </c>
      <c r="AI21" s="167">
        <f t="shared" si="12"/>
        <v>0</v>
      </c>
      <c r="AJ21" s="125">
        <f t="shared" si="13"/>
        <v>0</v>
      </c>
      <c r="AK21" s="125">
        <f t="shared" si="14"/>
        <v>0</v>
      </c>
      <c r="AL21" s="172">
        <f t="shared" si="15"/>
        <v>0</v>
      </c>
      <c r="AM21" s="8"/>
      <c r="AN21" s="125">
        <f>MAX(MIN((D21-MAX(0,SUM(M21:O21)))*IFERROR(1-T21/S21,0)*0.7,használat!$H$22),0)</f>
        <v>0</v>
      </c>
      <c r="AO21" s="150">
        <f t="shared" si="28"/>
        <v>0</v>
      </c>
      <c r="AQ21" s="167">
        <f t="shared" si="16"/>
        <v>0</v>
      </c>
      <c r="AR21" s="174">
        <f t="shared" si="29"/>
        <v>0</v>
      </c>
      <c r="AS21" s="179"/>
      <c r="AT21" s="125">
        <f t="shared" si="17"/>
        <v>0</v>
      </c>
      <c r="AU21" s="181">
        <f t="shared" si="30"/>
        <v>0</v>
      </c>
      <c r="AV21" s="10">
        <f t="shared" si="18"/>
        <v>0</v>
      </c>
      <c r="AW21" s="10">
        <f t="shared" si="32"/>
        <v>0</v>
      </c>
      <c r="AX21" s="10">
        <f t="shared" si="33"/>
        <v>0</v>
      </c>
      <c r="AY21" s="10">
        <f t="shared" si="34"/>
        <v>0</v>
      </c>
    </row>
    <row r="22" spans="2:51" x14ac:dyDescent="0.2">
      <c r="B22" s="145"/>
      <c r="C22" s="126"/>
      <c r="D22" s="128"/>
      <c r="E22" s="128"/>
      <c r="F22" s="128"/>
      <c r="G22" s="128"/>
      <c r="H22" s="125">
        <f t="shared" si="0"/>
        <v>0</v>
      </c>
      <c r="I22" s="125">
        <f t="shared" si="1"/>
        <v>0</v>
      </c>
      <c r="J22" s="125">
        <f t="shared" si="2"/>
        <v>0</v>
      </c>
      <c r="K22" s="150">
        <f t="shared" si="35"/>
        <v>0</v>
      </c>
      <c r="L22" s="128"/>
      <c r="M22" s="125">
        <f t="shared" si="3"/>
        <v>0</v>
      </c>
      <c r="N22" s="125">
        <f t="shared" si="4"/>
        <v>0</v>
      </c>
      <c r="O22" s="125">
        <f t="shared" si="5"/>
        <v>0</v>
      </c>
      <c r="P22" s="125">
        <f t="shared" si="6"/>
        <v>0</v>
      </c>
      <c r="Q22" s="150">
        <f t="shared" si="36"/>
        <v>0</v>
      </c>
      <c r="S22" s="159">
        <v>8</v>
      </c>
      <c r="T22" s="130">
        <v>4</v>
      </c>
      <c r="U22" s="14">
        <f t="shared" si="23"/>
        <v>1.2</v>
      </c>
      <c r="V22" s="163">
        <f t="shared" si="37"/>
        <v>5.2</v>
      </c>
      <c r="W22" s="164">
        <f t="shared" si="25"/>
        <v>0.35</v>
      </c>
      <c r="X22" s="132"/>
      <c r="Y22" s="164">
        <f t="shared" si="26"/>
        <v>0.35</v>
      </c>
      <c r="Z22" s="132"/>
      <c r="AA22" s="136"/>
      <c r="AC22" s="167">
        <f t="shared" si="7"/>
        <v>0</v>
      </c>
      <c r="AD22" s="125">
        <f t="shared" si="8"/>
        <v>0</v>
      </c>
      <c r="AE22" s="125">
        <f t="shared" si="9"/>
        <v>0</v>
      </c>
      <c r="AF22" s="125">
        <f t="shared" si="10"/>
        <v>0</v>
      </c>
      <c r="AG22" s="125">
        <f t="shared" si="11"/>
        <v>0</v>
      </c>
      <c r="AH22" s="170">
        <f t="shared" si="38"/>
        <v>0</v>
      </c>
      <c r="AI22" s="167">
        <f t="shared" si="12"/>
        <v>0</v>
      </c>
      <c r="AJ22" s="125">
        <f t="shared" si="13"/>
        <v>0</v>
      </c>
      <c r="AK22" s="125">
        <f t="shared" si="14"/>
        <v>0</v>
      </c>
      <c r="AL22" s="172">
        <f t="shared" si="15"/>
        <v>0</v>
      </c>
      <c r="AM22" s="8"/>
      <c r="AN22" s="125">
        <f>MAX(MIN((D22-MAX(0,SUM(M22:O22)))*IFERROR(1-T22/S22,0)*0.7,használat!$H$22),0)</f>
        <v>0</v>
      </c>
      <c r="AO22" s="150">
        <f t="shared" si="28"/>
        <v>0</v>
      </c>
      <c r="AQ22" s="167">
        <f t="shared" si="16"/>
        <v>0</v>
      </c>
      <c r="AR22" s="174">
        <f t="shared" si="29"/>
        <v>0</v>
      </c>
      <c r="AS22" s="179"/>
      <c r="AT22" s="125">
        <f t="shared" si="17"/>
        <v>0</v>
      </c>
      <c r="AU22" s="181">
        <f t="shared" si="30"/>
        <v>0</v>
      </c>
      <c r="AV22" s="10">
        <f t="shared" si="18"/>
        <v>0</v>
      </c>
      <c r="AW22" s="10">
        <f t="shared" si="32"/>
        <v>0</v>
      </c>
      <c r="AX22" s="10">
        <f t="shared" si="33"/>
        <v>0</v>
      </c>
      <c r="AY22" s="10">
        <f t="shared" si="34"/>
        <v>0</v>
      </c>
    </row>
    <row r="23" spans="2:51" x14ac:dyDescent="0.2">
      <c r="B23" s="145"/>
      <c r="C23" s="126"/>
      <c r="D23" s="128"/>
      <c r="E23" s="128"/>
      <c r="F23" s="128"/>
      <c r="G23" s="128"/>
      <c r="H23" s="125">
        <f t="shared" si="0"/>
        <v>0</v>
      </c>
      <c r="I23" s="125">
        <f t="shared" si="1"/>
        <v>0</v>
      </c>
      <c r="J23" s="125">
        <f t="shared" si="2"/>
        <v>0</v>
      </c>
      <c r="K23" s="150">
        <f t="shared" si="35"/>
        <v>0</v>
      </c>
      <c r="L23" s="128"/>
      <c r="M23" s="125">
        <f t="shared" si="3"/>
        <v>0</v>
      </c>
      <c r="N23" s="125">
        <f t="shared" si="4"/>
        <v>0</v>
      </c>
      <c r="O23" s="125">
        <f t="shared" si="5"/>
        <v>0</v>
      </c>
      <c r="P23" s="125">
        <f t="shared" si="6"/>
        <v>0</v>
      </c>
      <c r="Q23" s="150">
        <f t="shared" si="36"/>
        <v>0</v>
      </c>
      <c r="S23" s="159">
        <v>8</v>
      </c>
      <c r="T23" s="130">
        <v>4</v>
      </c>
      <c r="U23" s="14">
        <f t="shared" si="23"/>
        <v>1.2</v>
      </c>
      <c r="V23" s="163">
        <f t="shared" si="37"/>
        <v>5.2</v>
      </c>
      <c r="W23" s="164">
        <f t="shared" si="25"/>
        <v>0.35</v>
      </c>
      <c r="X23" s="132"/>
      <c r="Y23" s="164">
        <f t="shared" si="26"/>
        <v>0.35</v>
      </c>
      <c r="Z23" s="132"/>
      <c r="AA23" s="136"/>
      <c r="AC23" s="167">
        <f t="shared" si="7"/>
        <v>0</v>
      </c>
      <c r="AD23" s="125">
        <f t="shared" si="8"/>
        <v>0</v>
      </c>
      <c r="AE23" s="125">
        <f t="shared" si="9"/>
        <v>0</v>
      </c>
      <c r="AF23" s="125">
        <f t="shared" si="10"/>
        <v>0</v>
      </c>
      <c r="AG23" s="125">
        <f t="shared" si="11"/>
        <v>0</v>
      </c>
      <c r="AH23" s="170">
        <f t="shared" si="38"/>
        <v>0</v>
      </c>
      <c r="AI23" s="167">
        <f t="shared" si="12"/>
        <v>0</v>
      </c>
      <c r="AJ23" s="125">
        <f t="shared" si="13"/>
        <v>0</v>
      </c>
      <c r="AK23" s="125">
        <f t="shared" si="14"/>
        <v>0</v>
      </c>
      <c r="AL23" s="172">
        <f t="shared" si="15"/>
        <v>0</v>
      </c>
      <c r="AM23" s="8"/>
      <c r="AN23" s="125">
        <f>MAX(MIN((D23-MAX(0,SUM(M23:O23)))*IFERROR(1-T23/S23,0)*0.7,használat!$H$22),0)</f>
        <v>0</v>
      </c>
      <c r="AO23" s="150">
        <f t="shared" si="28"/>
        <v>0</v>
      </c>
      <c r="AQ23" s="167">
        <f t="shared" si="16"/>
        <v>0</v>
      </c>
      <c r="AR23" s="174">
        <f t="shared" si="29"/>
        <v>0</v>
      </c>
      <c r="AS23" s="179"/>
      <c r="AT23" s="125">
        <f t="shared" si="17"/>
        <v>0</v>
      </c>
      <c r="AU23" s="181">
        <f t="shared" si="30"/>
        <v>0</v>
      </c>
      <c r="AV23" s="10">
        <f t="shared" si="18"/>
        <v>0</v>
      </c>
      <c r="AW23" s="10">
        <f t="shared" si="32"/>
        <v>0</v>
      </c>
      <c r="AX23" s="10">
        <f t="shared" si="33"/>
        <v>0</v>
      </c>
      <c r="AY23" s="10">
        <f t="shared" si="34"/>
        <v>0</v>
      </c>
    </row>
    <row r="24" spans="2:51" x14ac:dyDescent="0.2">
      <c r="B24" s="145"/>
      <c r="C24" s="126"/>
      <c r="D24" s="128"/>
      <c r="E24" s="128"/>
      <c r="F24" s="128"/>
      <c r="G24" s="128"/>
      <c r="H24" s="125">
        <f t="shared" si="0"/>
        <v>0</v>
      </c>
      <c r="I24" s="125">
        <f t="shared" si="1"/>
        <v>0</v>
      </c>
      <c r="J24" s="125">
        <f t="shared" si="2"/>
        <v>0</v>
      </c>
      <c r="K24" s="150">
        <f t="shared" si="35"/>
        <v>0</v>
      </c>
      <c r="L24" s="128"/>
      <c r="M24" s="125">
        <f t="shared" si="3"/>
        <v>0</v>
      </c>
      <c r="N24" s="125">
        <f t="shared" si="4"/>
        <v>0</v>
      </c>
      <c r="O24" s="125">
        <f t="shared" si="5"/>
        <v>0</v>
      </c>
      <c r="P24" s="125">
        <f t="shared" si="6"/>
        <v>0</v>
      </c>
      <c r="Q24" s="150">
        <f t="shared" si="36"/>
        <v>0</v>
      </c>
      <c r="S24" s="159">
        <v>8</v>
      </c>
      <c r="T24" s="130">
        <v>4</v>
      </c>
      <c r="U24" s="14">
        <f t="shared" si="23"/>
        <v>1.2</v>
      </c>
      <c r="V24" s="163">
        <f t="shared" si="37"/>
        <v>5.2</v>
      </c>
      <c r="W24" s="164">
        <f t="shared" si="25"/>
        <v>0.35</v>
      </c>
      <c r="X24" s="132"/>
      <c r="Y24" s="164">
        <f t="shared" si="26"/>
        <v>0.35</v>
      </c>
      <c r="Z24" s="132"/>
      <c r="AA24" s="136"/>
      <c r="AC24" s="167">
        <f t="shared" si="7"/>
        <v>0</v>
      </c>
      <c r="AD24" s="125">
        <f t="shared" si="8"/>
        <v>0</v>
      </c>
      <c r="AE24" s="125">
        <f t="shared" si="9"/>
        <v>0</v>
      </c>
      <c r="AF24" s="125">
        <f t="shared" si="10"/>
        <v>0</v>
      </c>
      <c r="AG24" s="125">
        <f t="shared" si="11"/>
        <v>0</v>
      </c>
      <c r="AH24" s="170">
        <f t="shared" si="38"/>
        <v>0</v>
      </c>
      <c r="AI24" s="167">
        <f t="shared" si="12"/>
        <v>0</v>
      </c>
      <c r="AJ24" s="125">
        <f t="shared" si="13"/>
        <v>0</v>
      </c>
      <c r="AK24" s="125">
        <f t="shared" si="14"/>
        <v>0</v>
      </c>
      <c r="AL24" s="172">
        <f t="shared" si="15"/>
        <v>0</v>
      </c>
      <c r="AM24" s="8"/>
      <c r="AN24" s="125">
        <f>MAX(MIN((D24-MAX(0,SUM(M24:O24)))*IFERROR(1-T24/S24,0)*0.7,használat!$H$22),0)</f>
        <v>0</v>
      </c>
      <c r="AO24" s="150">
        <f t="shared" si="28"/>
        <v>0</v>
      </c>
      <c r="AQ24" s="167">
        <f t="shared" si="16"/>
        <v>0</v>
      </c>
      <c r="AR24" s="174">
        <f t="shared" si="29"/>
        <v>0</v>
      </c>
      <c r="AS24" s="179"/>
      <c r="AT24" s="125">
        <f t="shared" si="17"/>
        <v>0</v>
      </c>
      <c r="AU24" s="181">
        <f t="shared" si="30"/>
        <v>0</v>
      </c>
      <c r="AV24" s="10">
        <f t="shared" si="18"/>
        <v>0</v>
      </c>
      <c r="AW24" s="10">
        <f t="shared" si="32"/>
        <v>0</v>
      </c>
      <c r="AX24" s="10">
        <f t="shared" si="33"/>
        <v>0</v>
      </c>
      <c r="AY24" s="10">
        <f t="shared" si="34"/>
        <v>0</v>
      </c>
    </row>
    <row r="25" spans="2:51" x14ac:dyDescent="0.2">
      <c r="B25" s="145"/>
      <c r="C25" s="126"/>
      <c r="D25" s="128"/>
      <c r="E25" s="128"/>
      <c r="F25" s="128"/>
      <c r="G25" s="128"/>
      <c r="H25" s="125">
        <f t="shared" si="0"/>
        <v>0</v>
      </c>
      <c r="I25" s="125">
        <f t="shared" si="1"/>
        <v>0</v>
      </c>
      <c r="J25" s="125">
        <f t="shared" si="2"/>
        <v>0</v>
      </c>
      <c r="K25" s="150">
        <f t="shared" si="35"/>
        <v>0</v>
      </c>
      <c r="L25" s="128"/>
      <c r="M25" s="125">
        <f t="shared" si="3"/>
        <v>0</v>
      </c>
      <c r="N25" s="125">
        <f t="shared" si="4"/>
        <v>0</v>
      </c>
      <c r="O25" s="125">
        <f t="shared" si="5"/>
        <v>0</v>
      </c>
      <c r="P25" s="125">
        <f t="shared" si="6"/>
        <v>0</v>
      </c>
      <c r="Q25" s="150">
        <f t="shared" si="36"/>
        <v>0</v>
      </c>
      <c r="S25" s="159">
        <v>8</v>
      </c>
      <c r="T25" s="130">
        <v>4</v>
      </c>
      <c r="U25" s="14">
        <f t="shared" si="23"/>
        <v>1.2</v>
      </c>
      <c r="V25" s="163">
        <f t="shared" si="37"/>
        <v>5.2</v>
      </c>
      <c r="W25" s="164">
        <f t="shared" si="25"/>
        <v>0.35</v>
      </c>
      <c r="X25" s="132"/>
      <c r="Y25" s="164">
        <f t="shared" si="26"/>
        <v>0.35</v>
      </c>
      <c r="Z25" s="132"/>
      <c r="AA25" s="136"/>
      <c r="AC25" s="167">
        <f t="shared" si="7"/>
        <v>0</v>
      </c>
      <c r="AD25" s="125">
        <f t="shared" si="8"/>
        <v>0</v>
      </c>
      <c r="AE25" s="125">
        <f t="shared" si="9"/>
        <v>0</v>
      </c>
      <c r="AF25" s="125">
        <f t="shared" si="10"/>
        <v>0</v>
      </c>
      <c r="AG25" s="125">
        <f t="shared" si="11"/>
        <v>0</v>
      </c>
      <c r="AH25" s="170">
        <f t="shared" si="38"/>
        <v>0</v>
      </c>
      <c r="AI25" s="167">
        <f t="shared" si="12"/>
        <v>0</v>
      </c>
      <c r="AJ25" s="125">
        <f t="shared" si="13"/>
        <v>0</v>
      </c>
      <c r="AK25" s="125">
        <f t="shared" si="14"/>
        <v>0</v>
      </c>
      <c r="AL25" s="172">
        <f t="shared" si="15"/>
        <v>0</v>
      </c>
      <c r="AM25" s="8"/>
      <c r="AN25" s="125">
        <f>MAX(MIN((D25-MAX(0,SUM(M25:O25)))*IFERROR(1-T25/S25,0)*0.7,használat!$H$22),0)</f>
        <v>0</v>
      </c>
      <c r="AO25" s="150">
        <f t="shared" si="28"/>
        <v>0</v>
      </c>
      <c r="AQ25" s="167">
        <f t="shared" si="16"/>
        <v>0</v>
      </c>
      <c r="AR25" s="174">
        <f t="shared" si="29"/>
        <v>0</v>
      </c>
      <c r="AS25" s="179"/>
      <c r="AT25" s="125">
        <f t="shared" si="17"/>
        <v>0</v>
      </c>
      <c r="AU25" s="181">
        <f t="shared" si="30"/>
        <v>0</v>
      </c>
      <c r="AV25" s="10">
        <f t="shared" si="18"/>
        <v>0</v>
      </c>
      <c r="AW25" s="10">
        <f t="shared" si="32"/>
        <v>0</v>
      </c>
      <c r="AX25" s="10">
        <f t="shared" si="33"/>
        <v>0</v>
      </c>
      <c r="AY25" s="10">
        <f t="shared" si="34"/>
        <v>0</v>
      </c>
    </row>
    <row r="26" spans="2:51" x14ac:dyDescent="0.2">
      <c r="B26" s="145"/>
      <c r="C26" s="126"/>
      <c r="D26" s="128"/>
      <c r="E26" s="128"/>
      <c r="F26" s="128"/>
      <c r="G26" s="128"/>
      <c r="H26" s="125">
        <f t="shared" si="0"/>
        <v>0</v>
      </c>
      <c r="I26" s="125">
        <f t="shared" si="1"/>
        <v>0</v>
      </c>
      <c r="J26" s="125">
        <f t="shared" si="2"/>
        <v>0</v>
      </c>
      <c r="K26" s="150">
        <f t="shared" si="35"/>
        <v>0</v>
      </c>
      <c r="L26" s="128"/>
      <c r="M26" s="125">
        <f t="shared" si="3"/>
        <v>0</v>
      </c>
      <c r="N26" s="125">
        <f t="shared" si="4"/>
        <v>0</v>
      </c>
      <c r="O26" s="125">
        <f t="shared" si="5"/>
        <v>0</v>
      </c>
      <c r="P26" s="125">
        <f t="shared" si="6"/>
        <v>0</v>
      </c>
      <c r="Q26" s="150">
        <f t="shared" si="36"/>
        <v>0</v>
      </c>
      <c r="S26" s="159">
        <v>8</v>
      </c>
      <c r="T26" s="130">
        <v>4</v>
      </c>
      <c r="U26" s="14">
        <f t="shared" si="23"/>
        <v>1.2</v>
      </c>
      <c r="V26" s="163">
        <f t="shared" si="37"/>
        <v>5.2</v>
      </c>
      <c r="W26" s="164">
        <f t="shared" si="25"/>
        <v>0.35</v>
      </c>
      <c r="X26" s="132"/>
      <c r="Y26" s="164">
        <f t="shared" si="26"/>
        <v>0.35</v>
      </c>
      <c r="Z26" s="132"/>
      <c r="AA26" s="136"/>
      <c r="AC26" s="167">
        <f t="shared" si="7"/>
        <v>0</v>
      </c>
      <c r="AD26" s="125">
        <f t="shared" si="8"/>
        <v>0</v>
      </c>
      <c r="AE26" s="125">
        <f t="shared" si="9"/>
        <v>0</v>
      </c>
      <c r="AF26" s="125">
        <f t="shared" si="10"/>
        <v>0</v>
      </c>
      <c r="AG26" s="125">
        <f t="shared" si="11"/>
        <v>0</v>
      </c>
      <c r="AH26" s="170">
        <f t="shared" si="38"/>
        <v>0</v>
      </c>
      <c r="AI26" s="167">
        <f t="shared" si="12"/>
        <v>0</v>
      </c>
      <c r="AJ26" s="125">
        <f t="shared" si="13"/>
        <v>0</v>
      </c>
      <c r="AK26" s="125">
        <f t="shared" si="14"/>
        <v>0</v>
      </c>
      <c r="AL26" s="172">
        <f t="shared" si="15"/>
        <v>0</v>
      </c>
      <c r="AM26" s="8"/>
      <c r="AN26" s="125">
        <f>MAX(MIN((D26-MAX(0,SUM(M26:O26)))*IFERROR(1-T26/S26,0)*0.7,használat!$H$22),0)</f>
        <v>0</v>
      </c>
      <c r="AO26" s="150">
        <f t="shared" si="28"/>
        <v>0</v>
      </c>
      <c r="AQ26" s="167">
        <f t="shared" si="16"/>
        <v>0</v>
      </c>
      <c r="AR26" s="174">
        <f t="shared" si="29"/>
        <v>0</v>
      </c>
      <c r="AS26" s="179"/>
      <c r="AT26" s="125">
        <f t="shared" si="17"/>
        <v>0</v>
      </c>
      <c r="AU26" s="181">
        <f t="shared" si="30"/>
        <v>0</v>
      </c>
      <c r="AV26" s="10">
        <f t="shared" si="18"/>
        <v>0</v>
      </c>
      <c r="AW26" s="10">
        <f t="shared" si="32"/>
        <v>0</v>
      </c>
      <c r="AX26" s="10">
        <f t="shared" si="33"/>
        <v>0</v>
      </c>
      <c r="AY26" s="10">
        <f t="shared" si="34"/>
        <v>0</v>
      </c>
    </row>
    <row r="27" spans="2:51" x14ac:dyDescent="0.2">
      <c r="B27" s="145"/>
      <c r="C27" s="126"/>
      <c r="D27" s="128"/>
      <c r="E27" s="128"/>
      <c r="F27" s="128"/>
      <c r="G27" s="128"/>
      <c r="H27" s="125">
        <f t="shared" si="0"/>
        <v>0</v>
      </c>
      <c r="I27" s="125">
        <f t="shared" si="1"/>
        <v>0</v>
      </c>
      <c r="J27" s="125">
        <f t="shared" si="2"/>
        <v>0</v>
      </c>
      <c r="K27" s="150">
        <f t="shared" si="35"/>
        <v>0</v>
      </c>
      <c r="L27" s="128"/>
      <c r="M27" s="125">
        <f t="shared" si="3"/>
        <v>0</v>
      </c>
      <c r="N27" s="125">
        <f t="shared" si="4"/>
        <v>0</v>
      </c>
      <c r="O27" s="125">
        <f t="shared" si="5"/>
        <v>0</v>
      </c>
      <c r="P27" s="125">
        <f t="shared" si="6"/>
        <v>0</v>
      </c>
      <c r="Q27" s="150">
        <f t="shared" si="36"/>
        <v>0</v>
      </c>
      <c r="S27" s="159">
        <v>8</v>
      </c>
      <c r="T27" s="130">
        <v>4</v>
      </c>
      <c r="U27" s="14">
        <f t="shared" si="23"/>
        <v>1.2</v>
      </c>
      <c r="V27" s="163">
        <f t="shared" si="37"/>
        <v>5.2</v>
      </c>
      <c r="W27" s="164">
        <f t="shared" si="25"/>
        <v>0.35</v>
      </c>
      <c r="X27" s="132"/>
      <c r="Y27" s="164">
        <f t="shared" si="26"/>
        <v>0.35</v>
      </c>
      <c r="Z27" s="132"/>
      <c r="AA27" s="136"/>
      <c r="AC27" s="167">
        <f t="shared" si="7"/>
        <v>0</v>
      </c>
      <c r="AD27" s="125">
        <f t="shared" si="8"/>
        <v>0</v>
      </c>
      <c r="AE27" s="125">
        <f t="shared" si="9"/>
        <v>0</v>
      </c>
      <c r="AF27" s="125">
        <f t="shared" si="10"/>
        <v>0</v>
      </c>
      <c r="AG27" s="125">
        <f t="shared" si="11"/>
        <v>0</v>
      </c>
      <c r="AH27" s="170">
        <f t="shared" si="38"/>
        <v>0</v>
      </c>
      <c r="AI27" s="167">
        <f t="shared" si="12"/>
        <v>0</v>
      </c>
      <c r="AJ27" s="125">
        <f t="shared" si="13"/>
        <v>0</v>
      </c>
      <c r="AK27" s="125">
        <f t="shared" si="14"/>
        <v>0</v>
      </c>
      <c r="AL27" s="172">
        <f t="shared" si="15"/>
        <v>0</v>
      </c>
      <c r="AM27" s="8"/>
      <c r="AN27" s="125">
        <f>MAX(MIN((D27-MAX(0,SUM(M27:O27)))*IFERROR(1-T27/S27,0)*0.7,használat!$H$22),0)</f>
        <v>0</v>
      </c>
      <c r="AO27" s="150">
        <f t="shared" si="28"/>
        <v>0</v>
      </c>
      <c r="AQ27" s="167">
        <f t="shared" si="16"/>
        <v>0</v>
      </c>
      <c r="AR27" s="174">
        <f t="shared" si="29"/>
        <v>0</v>
      </c>
      <c r="AS27" s="179"/>
      <c r="AT27" s="125">
        <f t="shared" si="17"/>
        <v>0</v>
      </c>
      <c r="AU27" s="181">
        <f t="shared" si="30"/>
        <v>0</v>
      </c>
      <c r="AV27" s="10">
        <f t="shared" si="18"/>
        <v>0</v>
      </c>
      <c r="AW27" s="10">
        <f t="shared" si="32"/>
        <v>0</v>
      </c>
      <c r="AX27" s="10">
        <f t="shared" si="33"/>
        <v>0</v>
      </c>
      <c r="AY27" s="10">
        <f t="shared" si="34"/>
        <v>0</v>
      </c>
    </row>
    <row r="28" spans="2:51" x14ac:dyDescent="0.2">
      <c r="B28" s="145"/>
      <c r="C28" s="126"/>
      <c r="D28" s="128"/>
      <c r="E28" s="128"/>
      <c r="F28" s="128"/>
      <c r="G28" s="128"/>
      <c r="H28" s="125">
        <f t="shared" si="0"/>
        <v>0</v>
      </c>
      <c r="I28" s="125">
        <f t="shared" si="1"/>
        <v>0</v>
      </c>
      <c r="J28" s="125">
        <f t="shared" si="2"/>
        <v>0</v>
      </c>
      <c r="K28" s="150">
        <f t="shared" si="35"/>
        <v>0</v>
      </c>
      <c r="L28" s="128"/>
      <c r="M28" s="125">
        <f t="shared" si="3"/>
        <v>0</v>
      </c>
      <c r="N28" s="125">
        <f t="shared" si="4"/>
        <v>0</v>
      </c>
      <c r="O28" s="125">
        <f t="shared" si="5"/>
        <v>0</v>
      </c>
      <c r="P28" s="125">
        <f t="shared" si="6"/>
        <v>0</v>
      </c>
      <c r="Q28" s="150">
        <f t="shared" si="36"/>
        <v>0</v>
      </c>
      <c r="S28" s="159">
        <v>8</v>
      </c>
      <c r="T28" s="130">
        <v>4</v>
      </c>
      <c r="U28" s="14">
        <f t="shared" si="23"/>
        <v>1.2</v>
      </c>
      <c r="V28" s="163">
        <f t="shared" si="37"/>
        <v>5.2</v>
      </c>
      <c r="W28" s="164">
        <f t="shared" si="25"/>
        <v>0.35</v>
      </c>
      <c r="X28" s="132"/>
      <c r="Y28" s="164">
        <f t="shared" si="26"/>
        <v>0.35</v>
      </c>
      <c r="Z28" s="132"/>
      <c r="AA28" s="136"/>
      <c r="AC28" s="167">
        <f t="shared" si="7"/>
        <v>0</v>
      </c>
      <c r="AD28" s="125">
        <f t="shared" si="8"/>
        <v>0</v>
      </c>
      <c r="AE28" s="125">
        <f t="shared" si="9"/>
        <v>0</v>
      </c>
      <c r="AF28" s="125">
        <f t="shared" si="10"/>
        <v>0</v>
      </c>
      <c r="AG28" s="125">
        <f t="shared" si="11"/>
        <v>0</v>
      </c>
      <c r="AH28" s="170">
        <f t="shared" si="38"/>
        <v>0</v>
      </c>
      <c r="AI28" s="167">
        <f t="shared" si="12"/>
        <v>0</v>
      </c>
      <c r="AJ28" s="125">
        <f t="shared" si="13"/>
        <v>0</v>
      </c>
      <c r="AK28" s="125">
        <f t="shared" si="14"/>
        <v>0</v>
      </c>
      <c r="AL28" s="172">
        <f t="shared" si="15"/>
        <v>0</v>
      </c>
      <c r="AM28" s="8"/>
      <c r="AN28" s="125">
        <f>MAX(MIN((D28-MAX(0,SUM(M28:O28)))*IFERROR(1-T28/S28,0)*0.7,használat!$H$22),0)</f>
        <v>0</v>
      </c>
      <c r="AO28" s="150">
        <f t="shared" si="28"/>
        <v>0</v>
      </c>
      <c r="AQ28" s="167">
        <f t="shared" si="16"/>
        <v>0</v>
      </c>
      <c r="AR28" s="174">
        <f t="shared" si="29"/>
        <v>0</v>
      </c>
      <c r="AS28" s="179"/>
      <c r="AT28" s="125">
        <f t="shared" si="17"/>
        <v>0</v>
      </c>
      <c r="AU28" s="181">
        <f t="shared" si="30"/>
        <v>0</v>
      </c>
      <c r="AV28" s="10">
        <f t="shared" si="18"/>
        <v>0</v>
      </c>
      <c r="AW28" s="10">
        <f t="shared" si="32"/>
        <v>0</v>
      </c>
      <c r="AX28" s="10">
        <f t="shared" si="33"/>
        <v>0</v>
      </c>
      <c r="AY28" s="10">
        <f t="shared" si="34"/>
        <v>0</v>
      </c>
    </row>
    <row r="29" spans="2:51" x14ac:dyDescent="0.2">
      <c r="B29" s="145"/>
      <c r="C29" s="126"/>
      <c r="D29" s="128"/>
      <c r="E29" s="128"/>
      <c r="F29" s="128"/>
      <c r="G29" s="128"/>
      <c r="H29" s="125">
        <f t="shared" si="0"/>
        <v>0</v>
      </c>
      <c r="I29" s="125">
        <f t="shared" si="1"/>
        <v>0</v>
      </c>
      <c r="J29" s="125">
        <f t="shared" si="2"/>
        <v>0</v>
      </c>
      <c r="K29" s="150">
        <f t="shared" ref="K29:K38" si="39">SUM(D29:J29)</f>
        <v>0</v>
      </c>
      <c r="L29" s="128"/>
      <c r="M29" s="125">
        <f t="shared" si="3"/>
        <v>0</v>
      </c>
      <c r="N29" s="125">
        <f t="shared" si="4"/>
        <v>0</v>
      </c>
      <c r="O29" s="125">
        <f t="shared" si="5"/>
        <v>0</v>
      </c>
      <c r="P29" s="125">
        <f t="shared" si="6"/>
        <v>0</v>
      </c>
      <c r="Q29" s="150">
        <f t="shared" ref="Q29:Q38" si="40">SUM(D29:G29)-MAX(0,SUM(M29:O29))-P29</f>
        <v>0</v>
      </c>
      <c r="S29" s="159">
        <v>8</v>
      </c>
      <c r="T29" s="130">
        <v>4</v>
      </c>
      <c r="U29" s="14">
        <f t="shared" si="23"/>
        <v>1.2</v>
      </c>
      <c r="V29" s="163">
        <f t="shared" ref="V29:V38" si="41">SUM(T29:U29)</f>
        <v>5.2</v>
      </c>
      <c r="W29" s="164">
        <f t="shared" si="25"/>
        <v>0.35</v>
      </c>
      <c r="X29" s="132"/>
      <c r="Y29" s="164">
        <f t="shared" si="26"/>
        <v>0.35</v>
      </c>
      <c r="Z29" s="132"/>
      <c r="AA29" s="136"/>
      <c r="AC29" s="167">
        <f t="shared" si="7"/>
        <v>0</v>
      </c>
      <c r="AD29" s="125">
        <f t="shared" si="8"/>
        <v>0</v>
      </c>
      <c r="AE29" s="125">
        <f t="shared" si="9"/>
        <v>0</v>
      </c>
      <c r="AF29" s="125">
        <f t="shared" si="10"/>
        <v>0</v>
      </c>
      <c r="AG29" s="125">
        <f t="shared" si="11"/>
        <v>0</v>
      </c>
      <c r="AH29" s="170">
        <f t="shared" ref="AH29:AH38" si="42">SUM(AC29:AG29)</f>
        <v>0</v>
      </c>
      <c r="AI29" s="167">
        <f t="shared" si="12"/>
        <v>0</v>
      </c>
      <c r="AJ29" s="125">
        <f t="shared" si="13"/>
        <v>0</v>
      </c>
      <c r="AK29" s="125">
        <f t="shared" si="14"/>
        <v>0</v>
      </c>
      <c r="AL29" s="172">
        <f t="shared" si="15"/>
        <v>0</v>
      </c>
      <c r="AM29" s="8"/>
      <c r="AN29" s="125">
        <f>MAX(MIN((D29-MAX(0,SUM(M29:O29)))*IFERROR(1-T29/S29,0)*0.7,használat!$H$22),0)</f>
        <v>0</v>
      </c>
      <c r="AO29" s="150">
        <f t="shared" si="28"/>
        <v>0</v>
      </c>
      <c r="AQ29" s="167">
        <f t="shared" si="16"/>
        <v>0</v>
      </c>
      <c r="AR29" s="174">
        <f t="shared" si="29"/>
        <v>0</v>
      </c>
      <c r="AS29" s="179"/>
      <c r="AT29" s="125">
        <f t="shared" si="17"/>
        <v>0</v>
      </c>
      <c r="AU29" s="181">
        <f t="shared" si="30"/>
        <v>0</v>
      </c>
      <c r="AV29" s="10">
        <f t="shared" si="18"/>
        <v>0</v>
      </c>
      <c r="AW29" s="10">
        <f t="shared" si="32"/>
        <v>0</v>
      </c>
      <c r="AX29" s="10">
        <f t="shared" si="33"/>
        <v>0</v>
      </c>
      <c r="AY29" s="10">
        <f t="shared" si="34"/>
        <v>0</v>
      </c>
    </row>
    <row r="30" spans="2:51" x14ac:dyDescent="0.2">
      <c r="B30" s="145"/>
      <c r="C30" s="126"/>
      <c r="D30" s="128"/>
      <c r="E30" s="128"/>
      <c r="F30" s="128"/>
      <c r="G30" s="128"/>
      <c r="H30" s="125">
        <f t="shared" si="0"/>
        <v>0</v>
      </c>
      <c r="I30" s="125">
        <f t="shared" si="1"/>
        <v>0</v>
      </c>
      <c r="J30" s="125">
        <f t="shared" si="2"/>
        <v>0</v>
      </c>
      <c r="K30" s="150">
        <f t="shared" si="39"/>
        <v>0</v>
      </c>
      <c r="L30" s="128"/>
      <c r="M30" s="125">
        <f t="shared" si="3"/>
        <v>0</v>
      </c>
      <c r="N30" s="125">
        <f t="shared" si="4"/>
        <v>0</v>
      </c>
      <c r="O30" s="125">
        <f t="shared" si="5"/>
        <v>0</v>
      </c>
      <c r="P30" s="125">
        <f t="shared" si="6"/>
        <v>0</v>
      </c>
      <c r="Q30" s="150">
        <f t="shared" si="40"/>
        <v>0</v>
      </c>
      <c r="S30" s="159">
        <v>8</v>
      </c>
      <c r="T30" s="130">
        <v>4</v>
      </c>
      <c r="U30" s="14">
        <f t="shared" si="23"/>
        <v>1.2</v>
      </c>
      <c r="V30" s="163">
        <f t="shared" si="41"/>
        <v>5.2</v>
      </c>
      <c r="W30" s="164">
        <f t="shared" si="25"/>
        <v>0.35</v>
      </c>
      <c r="X30" s="132"/>
      <c r="Y30" s="164">
        <f t="shared" si="26"/>
        <v>0.35</v>
      </c>
      <c r="Z30" s="132"/>
      <c r="AA30" s="136"/>
      <c r="AC30" s="167">
        <f t="shared" si="7"/>
        <v>0</v>
      </c>
      <c r="AD30" s="125">
        <f t="shared" si="8"/>
        <v>0</v>
      </c>
      <c r="AE30" s="125">
        <f t="shared" si="9"/>
        <v>0</v>
      </c>
      <c r="AF30" s="125">
        <f t="shared" si="10"/>
        <v>0</v>
      </c>
      <c r="AG30" s="125">
        <f t="shared" si="11"/>
        <v>0</v>
      </c>
      <c r="AH30" s="170">
        <f t="shared" si="42"/>
        <v>0</v>
      </c>
      <c r="AI30" s="167">
        <f t="shared" si="12"/>
        <v>0</v>
      </c>
      <c r="AJ30" s="125">
        <f t="shared" si="13"/>
        <v>0</v>
      </c>
      <c r="AK30" s="125">
        <f t="shared" si="14"/>
        <v>0</v>
      </c>
      <c r="AL30" s="172">
        <f t="shared" si="15"/>
        <v>0</v>
      </c>
      <c r="AM30" s="8"/>
      <c r="AN30" s="125">
        <f>MAX(MIN((D30-MAX(0,SUM(M30:O30)))*IFERROR(1-T30/S30,0)*0.7,használat!$H$22),0)</f>
        <v>0</v>
      </c>
      <c r="AO30" s="150">
        <f t="shared" si="28"/>
        <v>0</v>
      </c>
      <c r="AQ30" s="167">
        <f t="shared" si="16"/>
        <v>0</v>
      </c>
      <c r="AR30" s="174">
        <f t="shared" si="29"/>
        <v>0</v>
      </c>
      <c r="AS30" s="179"/>
      <c r="AT30" s="125">
        <f t="shared" si="17"/>
        <v>0</v>
      </c>
      <c r="AU30" s="181">
        <f t="shared" si="30"/>
        <v>0</v>
      </c>
      <c r="AV30" s="10">
        <f t="shared" si="18"/>
        <v>0</v>
      </c>
      <c r="AW30" s="10">
        <f t="shared" si="32"/>
        <v>0</v>
      </c>
      <c r="AX30" s="10">
        <f t="shared" si="33"/>
        <v>0</v>
      </c>
      <c r="AY30" s="10">
        <f t="shared" si="34"/>
        <v>0</v>
      </c>
    </row>
    <row r="31" spans="2:51" x14ac:dyDescent="0.2">
      <c r="B31" s="145"/>
      <c r="C31" s="126"/>
      <c r="D31" s="128"/>
      <c r="E31" s="128"/>
      <c r="F31" s="128"/>
      <c r="G31" s="128"/>
      <c r="H31" s="125">
        <f t="shared" si="0"/>
        <v>0</v>
      </c>
      <c r="I31" s="125">
        <f t="shared" si="1"/>
        <v>0</v>
      </c>
      <c r="J31" s="125">
        <f t="shared" si="2"/>
        <v>0</v>
      </c>
      <c r="K31" s="150">
        <f t="shared" si="39"/>
        <v>0</v>
      </c>
      <c r="L31" s="128"/>
      <c r="M31" s="125">
        <f t="shared" si="3"/>
        <v>0</v>
      </c>
      <c r="N31" s="125">
        <f t="shared" si="4"/>
        <v>0</v>
      </c>
      <c r="O31" s="125">
        <f t="shared" si="5"/>
        <v>0</v>
      </c>
      <c r="P31" s="125">
        <f t="shared" si="6"/>
        <v>0</v>
      </c>
      <c r="Q31" s="150">
        <f t="shared" si="40"/>
        <v>0</v>
      </c>
      <c r="S31" s="159">
        <v>8</v>
      </c>
      <c r="T31" s="130">
        <v>4</v>
      </c>
      <c r="U31" s="14">
        <f t="shared" si="23"/>
        <v>1.2</v>
      </c>
      <c r="V31" s="163">
        <f t="shared" si="41"/>
        <v>5.2</v>
      </c>
      <c r="W31" s="164">
        <f t="shared" si="25"/>
        <v>0.35</v>
      </c>
      <c r="X31" s="132"/>
      <c r="Y31" s="164">
        <f t="shared" si="26"/>
        <v>0.35</v>
      </c>
      <c r="Z31" s="132"/>
      <c r="AA31" s="136"/>
      <c r="AC31" s="167">
        <f t="shared" si="7"/>
        <v>0</v>
      </c>
      <c r="AD31" s="125">
        <f t="shared" si="8"/>
        <v>0</v>
      </c>
      <c r="AE31" s="125">
        <f t="shared" si="9"/>
        <v>0</v>
      </c>
      <c r="AF31" s="125">
        <f t="shared" si="10"/>
        <v>0</v>
      </c>
      <c r="AG31" s="125">
        <f t="shared" si="11"/>
        <v>0</v>
      </c>
      <c r="AH31" s="170">
        <f t="shared" si="42"/>
        <v>0</v>
      </c>
      <c r="AI31" s="167">
        <f t="shared" si="12"/>
        <v>0</v>
      </c>
      <c r="AJ31" s="125">
        <f t="shared" si="13"/>
        <v>0</v>
      </c>
      <c r="AK31" s="125">
        <f t="shared" si="14"/>
        <v>0</v>
      </c>
      <c r="AL31" s="172">
        <f t="shared" si="15"/>
        <v>0</v>
      </c>
      <c r="AM31" s="8"/>
      <c r="AN31" s="125">
        <f>MAX(MIN((D31-MAX(0,SUM(M31:O31)))*IFERROR(1-T31/S31,0)*0.7,használat!$H$22),0)</f>
        <v>0</v>
      </c>
      <c r="AO31" s="150">
        <f t="shared" si="28"/>
        <v>0</v>
      </c>
      <c r="AQ31" s="167">
        <f t="shared" si="16"/>
        <v>0</v>
      </c>
      <c r="AR31" s="174">
        <f t="shared" si="29"/>
        <v>0</v>
      </c>
      <c r="AS31" s="179"/>
      <c r="AT31" s="125">
        <f t="shared" si="17"/>
        <v>0</v>
      </c>
      <c r="AU31" s="181">
        <f t="shared" si="30"/>
        <v>0</v>
      </c>
      <c r="AV31" s="10">
        <f t="shared" si="18"/>
        <v>0</v>
      </c>
      <c r="AW31" s="10">
        <f t="shared" si="32"/>
        <v>0</v>
      </c>
      <c r="AX31" s="10">
        <f t="shared" si="33"/>
        <v>0</v>
      </c>
      <c r="AY31" s="10">
        <f t="shared" si="34"/>
        <v>0</v>
      </c>
    </row>
    <row r="32" spans="2:51" x14ac:dyDescent="0.2">
      <c r="B32" s="145"/>
      <c r="C32" s="126"/>
      <c r="D32" s="128"/>
      <c r="E32" s="128"/>
      <c r="F32" s="128"/>
      <c r="G32" s="128"/>
      <c r="H32" s="125">
        <f t="shared" si="0"/>
        <v>0</v>
      </c>
      <c r="I32" s="125">
        <f t="shared" si="1"/>
        <v>0</v>
      </c>
      <c r="J32" s="125">
        <f t="shared" si="2"/>
        <v>0</v>
      </c>
      <c r="K32" s="150">
        <f t="shared" si="39"/>
        <v>0</v>
      </c>
      <c r="L32" s="128"/>
      <c r="M32" s="125">
        <f t="shared" si="3"/>
        <v>0</v>
      </c>
      <c r="N32" s="125">
        <f t="shared" si="4"/>
        <v>0</v>
      </c>
      <c r="O32" s="125">
        <f t="shared" si="5"/>
        <v>0</v>
      </c>
      <c r="P32" s="125">
        <f t="shared" si="6"/>
        <v>0</v>
      </c>
      <c r="Q32" s="150">
        <f t="shared" si="40"/>
        <v>0</v>
      </c>
      <c r="S32" s="159">
        <v>8</v>
      </c>
      <c r="T32" s="130">
        <v>4</v>
      </c>
      <c r="U32" s="14">
        <f t="shared" si="23"/>
        <v>1.2</v>
      </c>
      <c r="V32" s="163">
        <f t="shared" si="41"/>
        <v>5.2</v>
      </c>
      <c r="W32" s="164">
        <f t="shared" si="25"/>
        <v>0.35</v>
      </c>
      <c r="X32" s="132"/>
      <c r="Y32" s="164">
        <f t="shared" si="26"/>
        <v>0.35</v>
      </c>
      <c r="Z32" s="132"/>
      <c r="AA32" s="136"/>
      <c r="AC32" s="167">
        <f t="shared" si="7"/>
        <v>0</v>
      </c>
      <c r="AD32" s="125">
        <f t="shared" si="8"/>
        <v>0</v>
      </c>
      <c r="AE32" s="125">
        <f t="shared" si="9"/>
        <v>0</v>
      </c>
      <c r="AF32" s="125">
        <f t="shared" si="10"/>
        <v>0</v>
      </c>
      <c r="AG32" s="125">
        <f t="shared" si="11"/>
        <v>0</v>
      </c>
      <c r="AH32" s="170">
        <f t="shared" si="42"/>
        <v>0</v>
      </c>
      <c r="AI32" s="167">
        <f t="shared" si="12"/>
        <v>0</v>
      </c>
      <c r="AJ32" s="125">
        <f t="shared" si="13"/>
        <v>0</v>
      </c>
      <c r="AK32" s="125">
        <f t="shared" si="14"/>
        <v>0</v>
      </c>
      <c r="AL32" s="172">
        <f t="shared" si="15"/>
        <v>0</v>
      </c>
      <c r="AM32" s="8"/>
      <c r="AN32" s="125">
        <f>MAX(MIN((D32-MAX(0,SUM(M32:O32)))*IFERROR(1-T32/S32,0)*0.7,használat!$H$22),0)</f>
        <v>0</v>
      </c>
      <c r="AO32" s="150">
        <f t="shared" si="28"/>
        <v>0</v>
      </c>
      <c r="AQ32" s="167">
        <f t="shared" si="16"/>
        <v>0</v>
      </c>
      <c r="AR32" s="174">
        <f t="shared" si="29"/>
        <v>0</v>
      </c>
      <c r="AS32" s="179"/>
      <c r="AT32" s="125">
        <f t="shared" si="17"/>
        <v>0</v>
      </c>
      <c r="AU32" s="181">
        <f t="shared" si="30"/>
        <v>0</v>
      </c>
      <c r="AV32" s="10">
        <f t="shared" si="18"/>
        <v>0</v>
      </c>
      <c r="AW32" s="10">
        <f t="shared" si="32"/>
        <v>0</v>
      </c>
      <c r="AX32" s="10">
        <f t="shared" si="33"/>
        <v>0</v>
      </c>
      <c r="AY32" s="10">
        <f t="shared" si="34"/>
        <v>0</v>
      </c>
    </row>
    <row r="33" spans="2:51" x14ac:dyDescent="0.2">
      <c r="B33" s="145"/>
      <c r="C33" s="126"/>
      <c r="D33" s="128"/>
      <c r="E33" s="128"/>
      <c r="F33" s="128"/>
      <c r="G33" s="128"/>
      <c r="H33" s="125">
        <f t="shared" si="0"/>
        <v>0</v>
      </c>
      <c r="I33" s="125">
        <f t="shared" si="1"/>
        <v>0</v>
      </c>
      <c r="J33" s="125">
        <f t="shared" si="2"/>
        <v>0</v>
      </c>
      <c r="K33" s="150">
        <f t="shared" si="39"/>
        <v>0</v>
      </c>
      <c r="L33" s="128"/>
      <c r="M33" s="125">
        <f t="shared" si="3"/>
        <v>0</v>
      </c>
      <c r="N33" s="125">
        <f t="shared" si="4"/>
        <v>0</v>
      </c>
      <c r="O33" s="125">
        <f t="shared" si="5"/>
        <v>0</v>
      </c>
      <c r="P33" s="125">
        <f t="shared" si="6"/>
        <v>0</v>
      </c>
      <c r="Q33" s="150">
        <f t="shared" si="40"/>
        <v>0</v>
      </c>
      <c r="S33" s="159">
        <v>8</v>
      </c>
      <c r="T33" s="130">
        <v>4</v>
      </c>
      <c r="U33" s="14">
        <f t="shared" si="23"/>
        <v>1.2</v>
      </c>
      <c r="V33" s="163">
        <f t="shared" si="41"/>
        <v>5.2</v>
      </c>
      <c r="W33" s="164">
        <f t="shared" si="25"/>
        <v>0.35</v>
      </c>
      <c r="X33" s="132"/>
      <c r="Y33" s="164">
        <f t="shared" si="26"/>
        <v>0.35</v>
      </c>
      <c r="Z33" s="132"/>
      <c r="AA33" s="136"/>
      <c r="AC33" s="167">
        <f t="shared" si="7"/>
        <v>0</v>
      </c>
      <c r="AD33" s="125">
        <f t="shared" si="8"/>
        <v>0</v>
      </c>
      <c r="AE33" s="125">
        <f t="shared" si="9"/>
        <v>0</v>
      </c>
      <c r="AF33" s="125">
        <f t="shared" si="10"/>
        <v>0</v>
      </c>
      <c r="AG33" s="125">
        <f t="shared" si="11"/>
        <v>0</v>
      </c>
      <c r="AH33" s="170">
        <f t="shared" si="42"/>
        <v>0</v>
      </c>
      <c r="AI33" s="167">
        <f t="shared" si="12"/>
        <v>0</v>
      </c>
      <c r="AJ33" s="125">
        <f t="shared" si="13"/>
        <v>0</v>
      </c>
      <c r="AK33" s="125">
        <f t="shared" si="14"/>
        <v>0</v>
      </c>
      <c r="AL33" s="172">
        <f t="shared" si="15"/>
        <v>0</v>
      </c>
      <c r="AM33" s="8"/>
      <c r="AN33" s="125">
        <f>MAX(MIN((D33-MAX(0,SUM(M33:O33)))*IFERROR(1-T33/S33,0)*0.7,használat!$H$22),0)</f>
        <v>0</v>
      </c>
      <c r="AO33" s="150">
        <f t="shared" si="28"/>
        <v>0</v>
      </c>
      <c r="AQ33" s="167">
        <f t="shared" si="16"/>
        <v>0</v>
      </c>
      <c r="AR33" s="174">
        <f t="shared" si="29"/>
        <v>0</v>
      </c>
      <c r="AS33" s="179"/>
      <c r="AT33" s="125">
        <f t="shared" si="17"/>
        <v>0</v>
      </c>
      <c r="AU33" s="181">
        <f t="shared" si="30"/>
        <v>0</v>
      </c>
      <c r="AV33" s="10">
        <f t="shared" si="18"/>
        <v>0</v>
      </c>
      <c r="AW33" s="10">
        <f t="shared" si="32"/>
        <v>0</v>
      </c>
      <c r="AX33" s="10">
        <f t="shared" si="33"/>
        <v>0</v>
      </c>
      <c r="AY33" s="10">
        <f t="shared" si="34"/>
        <v>0</v>
      </c>
    </row>
    <row r="34" spans="2:51" x14ac:dyDescent="0.2">
      <c r="B34" s="145"/>
      <c r="C34" s="126"/>
      <c r="D34" s="128"/>
      <c r="E34" s="128"/>
      <c r="F34" s="128"/>
      <c r="G34" s="128"/>
      <c r="H34" s="125">
        <f t="shared" si="0"/>
        <v>0</v>
      </c>
      <c r="I34" s="125">
        <f t="shared" si="1"/>
        <v>0</v>
      </c>
      <c r="J34" s="125">
        <f t="shared" si="2"/>
        <v>0</v>
      </c>
      <c r="K34" s="150">
        <f t="shared" si="39"/>
        <v>0</v>
      </c>
      <c r="L34" s="128"/>
      <c r="M34" s="125">
        <f t="shared" si="3"/>
        <v>0</v>
      </c>
      <c r="N34" s="125">
        <f t="shared" si="4"/>
        <v>0</v>
      </c>
      <c r="O34" s="125">
        <f t="shared" si="5"/>
        <v>0</v>
      </c>
      <c r="P34" s="125">
        <f t="shared" si="6"/>
        <v>0</v>
      </c>
      <c r="Q34" s="150">
        <f t="shared" si="40"/>
        <v>0</v>
      </c>
      <c r="S34" s="159">
        <v>8</v>
      </c>
      <c r="T34" s="130">
        <v>4</v>
      </c>
      <c r="U34" s="14">
        <f t="shared" si="23"/>
        <v>1.2</v>
      </c>
      <c r="V34" s="163">
        <f t="shared" si="41"/>
        <v>5.2</v>
      </c>
      <c r="W34" s="164">
        <f t="shared" si="25"/>
        <v>0.35</v>
      </c>
      <c r="X34" s="132"/>
      <c r="Y34" s="164">
        <f t="shared" si="26"/>
        <v>0.35</v>
      </c>
      <c r="Z34" s="132"/>
      <c r="AA34" s="136"/>
      <c r="AC34" s="167">
        <f t="shared" si="7"/>
        <v>0</v>
      </c>
      <c r="AD34" s="125">
        <f t="shared" si="8"/>
        <v>0</v>
      </c>
      <c r="AE34" s="125">
        <f t="shared" si="9"/>
        <v>0</v>
      </c>
      <c r="AF34" s="125">
        <f t="shared" si="10"/>
        <v>0</v>
      </c>
      <c r="AG34" s="125">
        <f t="shared" si="11"/>
        <v>0</v>
      </c>
      <c r="AH34" s="170">
        <f t="shared" si="42"/>
        <v>0</v>
      </c>
      <c r="AI34" s="167">
        <f t="shared" si="12"/>
        <v>0</v>
      </c>
      <c r="AJ34" s="125">
        <f t="shared" si="13"/>
        <v>0</v>
      </c>
      <c r="AK34" s="125">
        <f t="shared" si="14"/>
        <v>0</v>
      </c>
      <c r="AL34" s="172">
        <f t="shared" si="15"/>
        <v>0</v>
      </c>
      <c r="AM34" s="8"/>
      <c r="AN34" s="125">
        <f>MAX(MIN((D34-MAX(0,SUM(M34:O34)))*IFERROR(1-T34/S34,0)*0.7,használat!$H$22),0)</f>
        <v>0</v>
      </c>
      <c r="AO34" s="150">
        <f t="shared" si="28"/>
        <v>0</v>
      </c>
      <c r="AQ34" s="167">
        <f t="shared" si="16"/>
        <v>0</v>
      </c>
      <c r="AR34" s="174">
        <f t="shared" si="29"/>
        <v>0</v>
      </c>
      <c r="AS34" s="179"/>
      <c r="AT34" s="125">
        <f t="shared" si="17"/>
        <v>0</v>
      </c>
      <c r="AU34" s="181">
        <f t="shared" si="30"/>
        <v>0</v>
      </c>
      <c r="AV34" s="10">
        <f t="shared" si="18"/>
        <v>0</v>
      </c>
      <c r="AW34" s="10">
        <f t="shared" si="32"/>
        <v>0</v>
      </c>
      <c r="AX34" s="10">
        <f t="shared" si="33"/>
        <v>0</v>
      </c>
      <c r="AY34" s="10">
        <f t="shared" si="34"/>
        <v>0</v>
      </c>
    </row>
    <row r="35" spans="2:51" x14ac:dyDescent="0.2">
      <c r="B35" s="145"/>
      <c r="C35" s="126"/>
      <c r="D35" s="128"/>
      <c r="E35" s="128"/>
      <c r="F35" s="128"/>
      <c r="G35" s="128"/>
      <c r="H35" s="125">
        <f t="shared" si="0"/>
        <v>0</v>
      </c>
      <c r="I35" s="125">
        <f t="shared" si="1"/>
        <v>0</v>
      </c>
      <c r="J35" s="125">
        <f t="shared" si="2"/>
        <v>0</v>
      </c>
      <c r="K35" s="150">
        <f t="shared" si="39"/>
        <v>0</v>
      </c>
      <c r="L35" s="128"/>
      <c r="M35" s="125">
        <f t="shared" si="3"/>
        <v>0</v>
      </c>
      <c r="N35" s="125">
        <f t="shared" si="4"/>
        <v>0</v>
      </c>
      <c r="O35" s="125">
        <f t="shared" si="5"/>
        <v>0</v>
      </c>
      <c r="P35" s="125">
        <f t="shared" si="6"/>
        <v>0</v>
      </c>
      <c r="Q35" s="150">
        <f t="shared" si="40"/>
        <v>0</v>
      </c>
      <c r="S35" s="159">
        <v>8</v>
      </c>
      <c r="T35" s="130">
        <v>4</v>
      </c>
      <c r="U35" s="14">
        <f t="shared" si="23"/>
        <v>1.2</v>
      </c>
      <c r="V35" s="163">
        <f t="shared" si="41"/>
        <v>5.2</v>
      </c>
      <c r="W35" s="164">
        <f t="shared" si="25"/>
        <v>0.35</v>
      </c>
      <c r="X35" s="132"/>
      <c r="Y35" s="164">
        <f t="shared" si="26"/>
        <v>0.35</v>
      </c>
      <c r="Z35" s="132"/>
      <c r="AA35" s="136"/>
      <c r="AC35" s="167">
        <f t="shared" si="7"/>
        <v>0</v>
      </c>
      <c r="AD35" s="125">
        <f t="shared" si="8"/>
        <v>0</v>
      </c>
      <c r="AE35" s="125">
        <f t="shared" si="9"/>
        <v>0</v>
      </c>
      <c r="AF35" s="125">
        <f t="shared" si="10"/>
        <v>0</v>
      </c>
      <c r="AG35" s="125">
        <f t="shared" si="11"/>
        <v>0</v>
      </c>
      <c r="AH35" s="170">
        <f t="shared" si="42"/>
        <v>0</v>
      </c>
      <c r="AI35" s="167">
        <f t="shared" si="12"/>
        <v>0</v>
      </c>
      <c r="AJ35" s="125">
        <f t="shared" si="13"/>
        <v>0</v>
      </c>
      <c r="AK35" s="125">
        <f t="shared" si="14"/>
        <v>0</v>
      </c>
      <c r="AL35" s="172">
        <f t="shared" si="15"/>
        <v>0</v>
      </c>
      <c r="AM35" s="8"/>
      <c r="AN35" s="125">
        <f>MAX(MIN((D35-MAX(0,SUM(M35:O35)))*IFERROR(1-T35/S35,0)*0.7,használat!$H$22),0)</f>
        <v>0</v>
      </c>
      <c r="AO35" s="150">
        <f t="shared" si="28"/>
        <v>0</v>
      </c>
      <c r="AQ35" s="167">
        <f t="shared" si="16"/>
        <v>0</v>
      </c>
      <c r="AR35" s="174">
        <f t="shared" si="29"/>
        <v>0</v>
      </c>
      <c r="AS35" s="179"/>
      <c r="AT35" s="125">
        <f t="shared" si="17"/>
        <v>0</v>
      </c>
      <c r="AU35" s="181">
        <f t="shared" si="30"/>
        <v>0</v>
      </c>
      <c r="AV35" s="10">
        <f t="shared" si="18"/>
        <v>0</v>
      </c>
      <c r="AW35" s="10">
        <f t="shared" si="32"/>
        <v>0</v>
      </c>
      <c r="AX35" s="10">
        <f t="shared" si="33"/>
        <v>0</v>
      </c>
      <c r="AY35" s="10">
        <f t="shared" si="34"/>
        <v>0</v>
      </c>
    </row>
    <row r="36" spans="2:51" x14ac:dyDescent="0.2">
      <c r="B36" s="145"/>
      <c r="C36" s="126"/>
      <c r="D36" s="128"/>
      <c r="E36" s="128"/>
      <c r="F36" s="128"/>
      <c r="G36" s="128"/>
      <c r="H36" s="125">
        <f t="shared" si="0"/>
        <v>0</v>
      </c>
      <c r="I36" s="125">
        <f t="shared" si="1"/>
        <v>0</v>
      </c>
      <c r="J36" s="125">
        <f t="shared" si="2"/>
        <v>0</v>
      </c>
      <c r="K36" s="150">
        <f t="shared" si="39"/>
        <v>0</v>
      </c>
      <c r="L36" s="128"/>
      <c r="M36" s="125">
        <f t="shared" si="3"/>
        <v>0</v>
      </c>
      <c r="N36" s="125">
        <f t="shared" si="4"/>
        <v>0</v>
      </c>
      <c r="O36" s="125">
        <f t="shared" si="5"/>
        <v>0</v>
      </c>
      <c r="P36" s="125">
        <f t="shared" si="6"/>
        <v>0</v>
      </c>
      <c r="Q36" s="150">
        <f t="shared" si="40"/>
        <v>0</v>
      </c>
      <c r="S36" s="159">
        <v>8</v>
      </c>
      <c r="T36" s="130">
        <v>4</v>
      </c>
      <c r="U36" s="14">
        <f t="shared" si="23"/>
        <v>1.2</v>
      </c>
      <c r="V36" s="163">
        <f t="shared" si="41"/>
        <v>5.2</v>
      </c>
      <c r="W36" s="164">
        <f t="shared" si="25"/>
        <v>0.35</v>
      </c>
      <c r="X36" s="132"/>
      <c r="Y36" s="164">
        <f t="shared" si="26"/>
        <v>0.35</v>
      </c>
      <c r="Z36" s="132"/>
      <c r="AA36" s="136"/>
      <c r="AC36" s="167">
        <f t="shared" si="7"/>
        <v>0</v>
      </c>
      <c r="AD36" s="125">
        <f t="shared" si="8"/>
        <v>0</v>
      </c>
      <c r="AE36" s="125">
        <f t="shared" si="9"/>
        <v>0</v>
      </c>
      <c r="AF36" s="125">
        <f t="shared" si="10"/>
        <v>0</v>
      </c>
      <c r="AG36" s="125">
        <f t="shared" si="11"/>
        <v>0</v>
      </c>
      <c r="AH36" s="170">
        <f t="shared" si="42"/>
        <v>0</v>
      </c>
      <c r="AI36" s="167">
        <f t="shared" si="12"/>
        <v>0</v>
      </c>
      <c r="AJ36" s="125">
        <f t="shared" si="13"/>
        <v>0</v>
      </c>
      <c r="AK36" s="125">
        <f t="shared" si="14"/>
        <v>0</v>
      </c>
      <c r="AL36" s="172">
        <f t="shared" si="15"/>
        <v>0</v>
      </c>
      <c r="AM36" s="8"/>
      <c r="AN36" s="125">
        <f>MAX(MIN((D36-MAX(0,SUM(M36:O36)))*IFERROR(1-T36/S36,0)*0.7,használat!$H$22),0)</f>
        <v>0</v>
      </c>
      <c r="AO36" s="150">
        <f t="shared" si="28"/>
        <v>0</v>
      </c>
      <c r="AQ36" s="167">
        <f t="shared" si="16"/>
        <v>0</v>
      </c>
      <c r="AR36" s="174">
        <f t="shared" si="29"/>
        <v>0</v>
      </c>
      <c r="AS36" s="179"/>
      <c r="AT36" s="125">
        <f t="shared" si="17"/>
        <v>0</v>
      </c>
      <c r="AU36" s="181">
        <f t="shared" si="30"/>
        <v>0</v>
      </c>
      <c r="AV36" s="10">
        <f t="shared" si="18"/>
        <v>0</v>
      </c>
      <c r="AW36" s="10">
        <f t="shared" si="32"/>
        <v>0</v>
      </c>
      <c r="AX36" s="10">
        <f t="shared" si="33"/>
        <v>0</v>
      </c>
      <c r="AY36" s="10">
        <f t="shared" si="34"/>
        <v>0</v>
      </c>
    </row>
    <row r="37" spans="2:51" x14ac:dyDescent="0.2">
      <c r="B37" s="145"/>
      <c r="C37" s="126"/>
      <c r="D37" s="128"/>
      <c r="E37" s="128"/>
      <c r="F37" s="128"/>
      <c r="G37" s="128"/>
      <c r="H37" s="125">
        <f t="shared" si="0"/>
        <v>0</v>
      </c>
      <c r="I37" s="125">
        <f t="shared" si="1"/>
        <v>0</v>
      </c>
      <c r="J37" s="125">
        <f t="shared" si="2"/>
        <v>0</v>
      </c>
      <c r="K37" s="150">
        <f t="shared" si="39"/>
        <v>0</v>
      </c>
      <c r="L37" s="128"/>
      <c r="M37" s="125">
        <f t="shared" si="3"/>
        <v>0</v>
      </c>
      <c r="N37" s="125">
        <f t="shared" si="4"/>
        <v>0</v>
      </c>
      <c r="O37" s="125">
        <f t="shared" si="5"/>
        <v>0</v>
      </c>
      <c r="P37" s="125">
        <f t="shared" si="6"/>
        <v>0</v>
      </c>
      <c r="Q37" s="150">
        <f t="shared" si="40"/>
        <v>0</v>
      </c>
      <c r="S37" s="159">
        <v>8</v>
      </c>
      <c r="T37" s="130">
        <v>4</v>
      </c>
      <c r="U37" s="14">
        <f t="shared" si="23"/>
        <v>1.2</v>
      </c>
      <c r="V37" s="163">
        <f t="shared" si="41"/>
        <v>5.2</v>
      </c>
      <c r="W37" s="164">
        <f t="shared" si="25"/>
        <v>0.35</v>
      </c>
      <c r="X37" s="132"/>
      <c r="Y37" s="164">
        <f t="shared" si="26"/>
        <v>0.35</v>
      </c>
      <c r="Z37" s="132"/>
      <c r="AA37" s="136"/>
      <c r="AC37" s="167">
        <f t="shared" si="7"/>
        <v>0</v>
      </c>
      <c r="AD37" s="125">
        <f t="shared" si="8"/>
        <v>0</v>
      </c>
      <c r="AE37" s="125">
        <f t="shared" si="9"/>
        <v>0</v>
      </c>
      <c r="AF37" s="125">
        <f t="shared" si="10"/>
        <v>0</v>
      </c>
      <c r="AG37" s="125">
        <f t="shared" si="11"/>
        <v>0</v>
      </c>
      <c r="AH37" s="170">
        <f t="shared" si="42"/>
        <v>0</v>
      </c>
      <c r="AI37" s="167">
        <f t="shared" si="12"/>
        <v>0</v>
      </c>
      <c r="AJ37" s="125">
        <f t="shared" si="13"/>
        <v>0</v>
      </c>
      <c r="AK37" s="125">
        <f t="shared" si="14"/>
        <v>0</v>
      </c>
      <c r="AL37" s="172">
        <f t="shared" si="15"/>
        <v>0</v>
      </c>
      <c r="AM37" s="8"/>
      <c r="AN37" s="125">
        <f>MAX(MIN((D37-MAX(0,SUM(M37:O37)))*IFERROR(1-T37/S37,0)*0.7,használat!$H$22),0)</f>
        <v>0</v>
      </c>
      <c r="AO37" s="150">
        <f t="shared" si="28"/>
        <v>0</v>
      </c>
      <c r="AQ37" s="167">
        <f t="shared" si="16"/>
        <v>0</v>
      </c>
      <c r="AR37" s="174">
        <f t="shared" si="29"/>
        <v>0</v>
      </c>
      <c r="AS37" s="179"/>
      <c r="AT37" s="125">
        <f t="shared" si="17"/>
        <v>0</v>
      </c>
      <c r="AU37" s="181">
        <f t="shared" si="30"/>
        <v>0</v>
      </c>
      <c r="AV37" s="10">
        <f t="shared" si="18"/>
        <v>0</v>
      </c>
      <c r="AW37" s="10">
        <f t="shared" si="32"/>
        <v>0</v>
      </c>
      <c r="AX37" s="10">
        <f t="shared" si="33"/>
        <v>0</v>
      </c>
      <c r="AY37" s="10">
        <f t="shared" si="34"/>
        <v>0</v>
      </c>
    </row>
    <row r="38" spans="2:51" x14ac:dyDescent="0.2">
      <c r="B38" s="145"/>
      <c r="C38" s="126"/>
      <c r="D38" s="128"/>
      <c r="E38" s="128"/>
      <c r="F38" s="128"/>
      <c r="G38" s="128"/>
      <c r="H38" s="125">
        <f t="shared" si="0"/>
        <v>0</v>
      </c>
      <c r="I38" s="125">
        <f t="shared" si="1"/>
        <v>0</v>
      </c>
      <c r="J38" s="125">
        <f t="shared" si="2"/>
        <v>0</v>
      </c>
      <c r="K38" s="150">
        <f t="shared" si="39"/>
        <v>0</v>
      </c>
      <c r="L38" s="128"/>
      <c r="M38" s="125">
        <f t="shared" si="3"/>
        <v>0</v>
      </c>
      <c r="N38" s="125">
        <f t="shared" si="4"/>
        <v>0</v>
      </c>
      <c r="O38" s="125">
        <f t="shared" si="5"/>
        <v>0</v>
      </c>
      <c r="P38" s="125">
        <f t="shared" si="6"/>
        <v>0</v>
      </c>
      <c r="Q38" s="150">
        <f t="shared" si="40"/>
        <v>0</v>
      </c>
      <c r="S38" s="159">
        <v>8</v>
      </c>
      <c r="T38" s="130">
        <v>4</v>
      </c>
      <c r="U38" s="14">
        <f t="shared" si="23"/>
        <v>1.2</v>
      </c>
      <c r="V38" s="163">
        <f t="shared" si="41"/>
        <v>5.2</v>
      </c>
      <c r="W38" s="164">
        <f t="shared" si="25"/>
        <v>0.35</v>
      </c>
      <c r="X38" s="132"/>
      <c r="Y38" s="164">
        <f t="shared" si="26"/>
        <v>0.35</v>
      </c>
      <c r="Z38" s="132"/>
      <c r="AA38" s="136"/>
      <c r="AC38" s="167">
        <f t="shared" si="7"/>
        <v>0</v>
      </c>
      <c r="AD38" s="125">
        <f t="shared" si="8"/>
        <v>0</v>
      </c>
      <c r="AE38" s="125">
        <f t="shared" si="9"/>
        <v>0</v>
      </c>
      <c r="AF38" s="125">
        <f t="shared" si="10"/>
        <v>0</v>
      </c>
      <c r="AG38" s="125">
        <f t="shared" si="11"/>
        <v>0</v>
      </c>
      <c r="AH38" s="170">
        <f t="shared" si="42"/>
        <v>0</v>
      </c>
      <c r="AI38" s="167">
        <f t="shared" si="12"/>
        <v>0</v>
      </c>
      <c r="AJ38" s="125">
        <f t="shared" si="13"/>
        <v>0</v>
      </c>
      <c r="AK38" s="125">
        <f t="shared" si="14"/>
        <v>0</v>
      </c>
      <c r="AL38" s="172">
        <f t="shared" si="15"/>
        <v>0</v>
      </c>
      <c r="AM38" s="8"/>
      <c r="AN38" s="125">
        <f>MAX(MIN((D38-MAX(0,SUM(M38:O38)))*IFERROR(1-T38/S38,0)*0.7,használat!$H$22),0)</f>
        <v>0</v>
      </c>
      <c r="AO38" s="150">
        <f t="shared" si="28"/>
        <v>0</v>
      </c>
      <c r="AQ38" s="167">
        <f t="shared" si="16"/>
        <v>0</v>
      </c>
      <c r="AR38" s="174">
        <f t="shared" si="29"/>
        <v>0</v>
      </c>
      <c r="AS38" s="179"/>
      <c r="AT38" s="125">
        <f t="shared" si="17"/>
        <v>0</v>
      </c>
      <c r="AU38" s="181">
        <f t="shared" si="30"/>
        <v>0</v>
      </c>
      <c r="AV38" s="10">
        <f t="shared" si="18"/>
        <v>0</v>
      </c>
      <c r="AW38" s="10">
        <f>IFERROR(($AT38*4-$AN38*1)/($Q38*12),0)</f>
        <v>0</v>
      </c>
      <c r="AX38" s="10">
        <f>IFERROR(($AT38*5-$AN38*2)/($Q38*12),0)</f>
        <v>0</v>
      </c>
      <c r="AY38" s="10">
        <f>IFERROR(($AT38*6-$AN38*3)/($Q38*12),0)</f>
        <v>0</v>
      </c>
    </row>
    <row r="39" spans="2:51" x14ac:dyDescent="0.2">
      <c r="B39" s="145"/>
      <c r="C39" s="126"/>
      <c r="D39" s="128"/>
      <c r="E39" s="128"/>
      <c r="F39" s="128"/>
      <c r="G39" s="128"/>
      <c r="H39" s="125">
        <f t="shared" si="0"/>
        <v>0</v>
      </c>
      <c r="I39" s="125">
        <f t="shared" si="1"/>
        <v>0</v>
      </c>
      <c r="J39" s="125">
        <f t="shared" si="2"/>
        <v>0</v>
      </c>
      <c r="K39" s="150">
        <f t="shared" si="21"/>
        <v>0</v>
      </c>
      <c r="L39" s="128"/>
      <c r="M39" s="125">
        <f t="shared" si="3"/>
        <v>0</v>
      </c>
      <c r="N39" s="125">
        <f t="shared" si="4"/>
        <v>0</v>
      </c>
      <c r="O39" s="125">
        <f t="shared" si="5"/>
        <v>0</v>
      </c>
      <c r="P39" s="125">
        <f t="shared" si="6"/>
        <v>0</v>
      </c>
      <c r="Q39" s="150">
        <f t="shared" si="22"/>
        <v>0</v>
      </c>
      <c r="S39" s="159">
        <v>8</v>
      </c>
      <c r="T39" s="130">
        <v>4</v>
      </c>
      <c r="U39" s="14">
        <f t="shared" si="23"/>
        <v>1.2</v>
      </c>
      <c r="V39" s="163">
        <f t="shared" si="24"/>
        <v>5.2</v>
      </c>
      <c r="W39" s="164">
        <f t="shared" si="25"/>
        <v>0.35</v>
      </c>
      <c r="X39" s="132"/>
      <c r="Y39" s="164">
        <f t="shared" si="26"/>
        <v>0.35</v>
      </c>
      <c r="Z39" s="132"/>
      <c r="AA39" s="136"/>
      <c r="AC39" s="167">
        <f t="shared" si="7"/>
        <v>0</v>
      </c>
      <c r="AD39" s="125">
        <f t="shared" si="8"/>
        <v>0</v>
      </c>
      <c r="AE39" s="125">
        <f t="shared" si="9"/>
        <v>0</v>
      </c>
      <c r="AF39" s="125">
        <f t="shared" si="10"/>
        <v>0</v>
      </c>
      <c r="AG39" s="125">
        <f t="shared" si="11"/>
        <v>0</v>
      </c>
      <c r="AH39" s="170">
        <f t="shared" si="27"/>
        <v>0</v>
      </c>
      <c r="AI39" s="167">
        <f t="shared" si="12"/>
        <v>0</v>
      </c>
      <c r="AJ39" s="125">
        <f t="shared" si="13"/>
        <v>0</v>
      </c>
      <c r="AK39" s="125">
        <f t="shared" si="14"/>
        <v>0</v>
      </c>
      <c r="AL39" s="172">
        <f t="shared" si="15"/>
        <v>0</v>
      </c>
      <c r="AM39" s="8"/>
      <c r="AN39" s="125">
        <f>MAX(MIN((D39-MAX(0,SUM(M39:O39)))*IFERROR(1-T39/S39,0)*0.7,használat!$H$22),0)</f>
        <v>0</v>
      </c>
      <c r="AO39" s="150">
        <f t="shared" si="28"/>
        <v>0</v>
      </c>
      <c r="AQ39" s="167">
        <f t="shared" si="16"/>
        <v>0</v>
      </c>
      <c r="AR39" s="174">
        <f t="shared" si="29"/>
        <v>0</v>
      </c>
      <c r="AS39" s="179"/>
      <c r="AT39" s="125">
        <f t="shared" si="17"/>
        <v>0</v>
      </c>
      <c r="AU39" s="181">
        <f t="shared" si="30"/>
        <v>0</v>
      </c>
      <c r="AV39" s="10">
        <f t="shared" si="18"/>
        <v>0</v>
      </c>
      <c r="AW39" s="10">
        <f t="shared" si="32"/>
        <v>0</v>
      </c>
      <c r="AX39" s="10">
        <f t="shared" si="33"/>
        <v>0</v>
      </c>
      <c r="AY39" s="10">
        <f t="shared" si="34"/>
        <v>0</v>
      </c>
    </row>
    <row r="40" spans="2:51" x14ac:dyDescent="0.2">
      <c r="B40" s="145"/>
      <c r="C40" s="126"/>
      <c r="D40" s="128"/>
      <c r="E40" s="128"/>
      <c r="F40" s="128"/>
      <c r="G40" s="128"/>
      <c r="H40" s="125">
        <f t="shared" si="0"/>
        <v>0</v>
      </c>
      <c r="I40" s="125">
        <f t="shared" si="1"/>
        <v>0</v>
      </c>
      <c r="J40" s="125">
        <f t="shared" si="2"/>
        <v>0</v>
      </c>
      <c r="K40" s="150">
        <f t="shared" si="21"/>
        <v>0</v>
      </c>
      <c r="L40" s="128"/>
      <c r="M40" s="125">
        <f t="shared" si="3"/>
        <v>0</v>
      </c>
      <c r="N40" s="125">
        <f t="shared" si="4"/>
        <v>0</v>
      </c>
      <c r="O40" s="125">
        <f t="shared" si="5"/>
        <v>0</v>
      </c>
      <c r="P40" s="125">
        <f t="shared" si="6"/>
        <v>0</v>
      </c>
      <c r="Q40" s="150">
        <f t="shared" si="22"/>
        <v>0</v>
      </c>
      <c r="S40" s="159">
        <v>8</v>
      </c>
      <c r="T40" s="130">
        <v>4</v>
      </c>
      <c r="U40" s="14">
        <f t="shared" si="23"/>
        <v>1.2</v>
      </c>
      <c r="V40" s="163">
        <f t="shared" si="24"/>
        <v>5.2</v>
      </c>
      <c r="W40" s="164">
        <f t="shared" si="25"/>
        <v>0.35</v>
      </c>
      <c r="X40" s="132"/>
      <c r="Y40" s="164">
        <f t="shared" si="26"/>
        <v>0.35</v>
      </c>
      <c r="Z40" s="132"/>
      <c r="AA40" s="136"/>
      <c r="AC40" s="167">
        <f t="shared" si="7"/>
        <v>0</v>
      </c>
      <c r="AD40" s="125">
        <f t="shared" si="8"/>
        <v>0</v>
      </c>
      <c r="AE40" s="125">
        <f t="shared" si="9"/>
        <v>0</v>
      </c>
      <c r="AF40" s="125">
        <f t="shared" si="10"/>
        <v>0</v>
      </c>
      <c r="AG40" s="125">
        <f t="shared" si="11"/>
        <v>0</v>
      </c>
      <c r="AH40" s="170">
        <f t="shared" si="27"/>
        <v>0</v>
      </c>
      <c r="AI40" s="167">
        <f t="shared" si="12"/>
        <v>0</v>
      </c>
      <c r="AJ40" s="125">
        <f t="shared" si="13"/>
        <v>0</v>
      </c>
      <c r="AK40" s="125">
        <f t="shared" si="14"/>
        <v>0</v>
      </c>
      <c r="AL40" s="172">
        <f t="shared" si="15"/>
        <v>0</v>
      </c>
      <c r="AM40" s="8"/>
      <c r="AN40" s="125">
        <f>MAX(MIN((D40-MAX(0,SUM(M40:O40)))*IFERROR(1-T40/S40,0)*0.7,használat!$H$22),0)</f>
        <v>0</v>
      </c>
      <c r="AO40" s="150">
        <f t="shared" si="28"/>
        <v>0</v>
      </c>
      <c r="AQ40" s="167">
        <f t="shared" si="16"/>
        <v>0</v>
      </c>
      <c r="AR40" s="174">
        <f t="shared" si="29"/>
        <v>0</v>
      </c>
      <c r="AS40" s="179"/>
      <c r="AT40" s="125">
        <f t="shared" si="17"/>
        <v>0</v>
      </c>
      <c r="AU40" s="181">
        <f t="shared" si="30"/>
        <v>0</v>
      </c>
      <c r="AV40" s="10">
        <f t="shared" si="18"/>
        <v>0</v>
      </c>
      <c r="AW40" s="10">
        <f t="shared" si="32"/>
        <v>0</v>
      </c>
      <c r="AX40" s="10">
        <f t="shared" si="33"/>
        <v>0</v>
      </c>
      <c r="AY40" s="10">
        <f t="shared" si="34"/>
        <v>0</v>
      </c>
    </row>
    <row r="41" spans="2:51" x14ac:dyDescent="0.2">
      <c r="B41" s="145"/>
      <c r="C41" s="126"/>
      <c r="D41" s="128"/>
      <c r="E41" s="128"/>
      <c r="F41" s="128"/>
      <c r="G41" s="128"/>
      <c r="H41" s="125">
        <f t="shared" si="0"/>
        <v>0</v>
      </c>
      <c r="I41" s="125">
        <f t="shared" si="1"/>
        <v>0</v>
      </c>
      <c r="J41" s="125">
        <f t="shared" si="2"/>
        <v>0</v>
      </c>
      <c r="K41" s="150">
        <f t="shared" si="21"/>
        <v>0</v>
      </c>
      <c r="L41" s="128"/>
      <c r="M41" s="125">
        <f t="shared" si="3"/>
        <v>0</v>
      </c>
      <c r="N41" s="125">
        <f t="shared" si="4"/>
        <v>0</v>
      </c>
      <c r="O41" s="125">
        <f t="shared" si="5"/>
        <v>0</v>
      </c>
      <c r="P41" s="125">
        <f t="shared" si="6"/>
        <v>0</v>
      </c>
      <c r="Q41" s="150">
        <f t="shared" si="22"/>
        <v>0</v>
      </c>
      <c r="S41" s="159">
        <v>8</v>
      </c>
      <c r="T41" s="130">
        <v>4</v>
      </c>
      <c r="U41" s="14">
        <f t="shared" si="23"/>
        <v>1.2</v>
      </c>
      <c r="V41" s="163">
        <f t="shared" si="24"/>
        <v>5.2</v>
      </c>
      <c r="W41" s="164">
        <f t="shared" si="25"/>
        <v>0.35</v>
      </c>
      <c r="X41" s="132"/>
      <c r="Y41" s="164">
        <f t="shared" si="26"/>
        <v>0.35</v>
      </c>
      <c r="Z41" s="132"/>
      <c r="AA41" s="136"/>
      <c r="AC41" s="167">
        <f t="shared" si="7"/>
        <v>0</v>
      </c>
      <c r="AD41" s="125">
        <f t="shared" si="8"/>
        <v>0</v>
      </c>
      <c r="AE41" s="125">
        <f t="shared" si="9"/>
        <v>0</v>
      </c>
      <c r="AF41" s="125">
        <f t="shared" si="10"/>
        <v>0</v>
      </c>
      <c r="AG41" s="125">
        <f t="shared" si="11"/>
        <v>0</v>
      </c>
      <c r="AH41" s="170">
        <f t="shared" si="27"/>
        <v>0</v>
      </c>
      <c r="AI41" s="167">
        <f t="shared" si="12"/>
        <v>0</v>
      </c>
      <c r="AJ41" s="125">
        <f t="shared" si="13"/>
        <v>0</v>
      </c>
      <c r="AK41" s="125">
        <f t="shared" si="14"/>
        <v>0</v>
      </c>
      <c r="AL41" s="172">
        <f t="shared" si="15"/>
        <v>0</v>
      </c>
      <c r="AM41" s="8"/>
      <c r="AN41" s="125">
        <f>MAX(MIN((D41-MAX(0,SUM(M41:O41)))*IFERROR(1-T41/S41,0)*0.7,használat!$H$22),0)</f>
        <v>0</v>
      </c>
      <c r="AO41" s="150">
        <f t="shared" si="28"/>
        <v>0</v>
      </c>
      <c r="AQ41" s="167">
        <f t="shared" si="16"/>
        <v>0</v>
      </c>
      <c r="AR41" s="174">
        <f t="shared" si="29"/>
        <v>0</v>
      </c>
      <c r="AS41" s="179"/>
      <c r="AT41" s="125">
        <f t="shared" si="17"/>
        <v>0</v>
      </c>
      <c r="AU41" s="181">
        <f t="shared" si="30"/>
        <v>0</v>
      </c>
      <c r="AV41" s="10">
        <f t="shared" si="18"/>
        <v>0</v>
      </c>
      <c r="AW41" s="10">
        <f t="shared" si="32"/>
        <v>0</v>
      </c>
      <c r="AX41" s="10">
        <f t="shared" si="33"/>
        <v>0</v>
      </c>
      <c r="AY41" s="10">
        <f t="shared" si="34"/>
        <v>0</v>
      </c>
    </row>
    <row r="42" spans="2:51" x14ac:dyDescent="0.2">
      <c r="B42" s="145"/>
      <c r="C42" s="126"/>
      <c r="D42" s="128"/>
      <c r="E42" s="128"/>
      <c r="F42" s="128"/>
      <c r="G42" s="128"/>
      <c r="H42" s="125">
        <f t="shared" si="0"/>
        <v>0</v>
      </c>
      <c r="I42" s="125">
        <f t="shared" si="1"/>
        <v>0</v>
      </c>
      <c r="J42" s="125">
        <f t="shared" si="2"/>
        <v>0</v>
      </c>
      <c r="K42" s="150">
        <f t="shared" si="21"/>
        <v>0</v>
      </c>
      <c r="L42" s="128"/>
      <c r="M42" s="125">
        <f t="shared" si="3"/>
        <v>0</v>
      </c>
      <c r="N42" s="125">
        <f t="shared" si="4"/>
        <v>0</v>
      </c>
      <c r="O42" s="125">
        <f t="shared" si="5"/>
        <v>0</v>
      </c>
      <c r="P42" s="125">
        <f t="shared" si="6"/>
        <v>0</v>
      </c>
      <c r="Q42" s="150">
        <f t="shared" si="22"/>
        <v>0</v>
      </c>
      <c r="S42" s="159">
        <v>8</v>
      </c>
      <c r="T42" s="130">
        <v>4</v>
      </c>
      <c r="U42" s="14">
        <f t="shared" si="23"/>
        <v>1.2</v>
      </c>
      <c r="V42" s="163">
        <f t="shared" si="24"/>
        <v>5.2</v>
      </c>
      <c r="W42" s="164">
        <f t="shared" si="25"/>
        <v>0.35</v>
      </c>
      <c r="X42" s="132"/>
      <c r="Y42" s="164">
        <f t="shared" si="26"/>
        <v>0.35</v>
      </c>
      <c r="Z42" s="132"/>
      <c r="AA42" s="136"/>
      <c r="AC42" s="167">
        <f t="shared" si="7"/>
        <v>0</v>
      </c>
      <c r="AD42" s="125">
        <f t="shared" si="8"/>
        <v>0</v>
      </c>
      <c r="AE42" s="125">
        <f t="shared" si="9"/>
        <v>0</v>
      </c>
      <c r="AF42" s="125">
        <f t="shared" si="10"/>
        <v>0</v>
      </c>
      <c r="AG42" s="125">
        <f t="shared" si="11"/>
        <v>0</v>
      </c>
      <c r="AH42" s="170">
        <f t="shared" si="27"/>
        <v>0</v>
      </c>
      <c r="AI42" s="167">
        <f t="shared" si="12"/>
        <v>0</v>
      </c>
      <c r="AJ42" s="125">
        <f t="shared" si="13"/>
        <v>0</v>
      </c>
      <c r="AK42" s="125">
        <f t="shared" si="14"/>
        <v>0</v>
      </c>
      <c r="AL42" s="172">
        <f t="shared" si="15"/>
        <v>0</v>
      </c>
      <c r="AM42" s="8"/>
      <c r="AN42" s="125">
        <f>MAX(MIN((D42-MAX(0,SUM(M42:O42)))*IFERROR(1-T42/S42,0)*0.7,használat!$H$22),0)</f>
        <v>0</v>
      </c>
      <c r="AO42" s="150">
        <f t="shared" si="28"/>
        <v>0</v>
      </c>
      <c r="AQ42" s="167">
        <f t="shared" si="16"/>
        <v>0</v>
      </c>
      <c r="AR42" s="174">
        <f t="shared" si="29"/>
        <v>0</v>
      </c>
      <c r="AS42" s="179"/>
      <c r="AT42" s="125">
        <f t="shared" si="17"/>
        <v>0</v>
      </c>
      <c r="AU42" s="181">
        <f t="shared" si="30"/>
        <v>0</v>
      </c>
      <c r="AV42" s="10">
        <f t="shared" si="18"/>
        <v>0</v>
      </c>
      <c r="AW42" s="10">
        <f t="shared" si="32"/>
        <v>0</v>
      </c>
      <c r="AX42" s="10">
        <f t="shared" si="33"/>
        <v>0</v>
      </c>
      <c r="AY42" s="10">
        <f t="shared" si="34"/>
        <v>0</v>
      </c>
    </row>
    <row r="43" spans="2:51" ht="12" thickBot="1" x14ac:dyDescent="0.25">
      <c r="B43" s="146"/>
      <c r="C43" s="147"/>
      <c r="D43" s="148"/>
      <c r="E43" s="148"/>
      <c r="F43" s="148"/>
      <c r="G43" s="148"/>
      <c r="H43" s="149">
        <f t="shared" si="0"/>
        <v>0</v>
      </c>
      <c r="I43" s="149">
        <f t="shared" si="1"/>
        <v>0</v>
      </c>
      <c r="J43" s="149">
        <f t="shared" si="2"/>
        <v>0</v>
      </c>
      <c r="K43" s="151">
        <f t="shared" si="21"/>
        <v>0</v>
      </c>
      <c r="L43" s="148"/>
      <c r="M43" s="149">
        <f t="shared" si="3"/>
        <v>0</v>
      </c>
      <c r="N43" s="149">
        <f t="shared" si="4"/>
        <v>0</v>
      </c>
      <c r="O43" s="149">
        <f t="shared" si="5"/>
        <v>0</v>
      </c>
      <c r="P43" s="149">
        <f t="shared" si="6"/>
        <v>0</v>
      </c>
      <c r="Q43" s="151">
        <f t="shared" si="22"/>
        <v>0</v>
      </c>
      <c r="S43" s="160">
        <v>8</v>
      </c>
      <c r="T43" s="137">
        <v>4</v>
      </c>
      <c r="U43" s="138">
        <f t="shared" si="23"/>
        <v>1.2</v>
      </c>
      <c r="V43" s="165">
        <f t="shared" si="24"/>
        <v>5.2</v>
      </c>
      <c r="W43" s="166">
        <f t="shared" si="25"/>
        <v>0.35</v>
      </c>
      <c r="X43" s="139"/>
      <c r="Y43" s="166">
        <f t="shared" si="26"/>
        <v>0.35</v>
      </c>
      <c r="Z43" s="139"/>
      <c r="AA43" s="140"/>
      <c r="AC43" s="167">
        <f t="shared" si="7"/>
        <v>0</v>
      </c>
      <c r="AD43" s="125">
        <f t="shared" si="8"/>
        <v>0</v>
      </c>
      <c r="AE43" s="125">
        <f t="shared" si="9"/>
        <v>0</v>
      </c>
      <c r="AF43" s="125">
        <f t="shared" si="10"/>
        <v>0</v>
      </c>
      <c r="AG43" s="125">
        <f t="shared" si="11"/>
        <v>0</v>
      </c>
      <c r="AH43" s="170">
        <f t="shared" si="27"/>
        <v>0</v>
      </c>
      <c r="AI43" s="167">
        <f t="shared" si="12"/>
        <v>0</v>
      </c>
      <c r="AJ43" s="125">
        <f t="shared" si="13"/>
        <v>0</v>
      </c>
      <c r="AK43" s="125">
        <f t="shared" si="14"/>
        <v>0</v>
      </c>
      <c r="AL43" s="172">
        <f t="shared" si="15"/>
        <v>0</v>
      </c>
      <c r="AM43" s="8"/>
      <c r="AN43" s="125">
        <f>MAX(MIN((D43-MAX(0,SUM(M43:O43)))*IFERROR(1-T43/S43,0)*0.7,használat!$H$22),0)</f>
        <v>0</v>
      </c>
      <c r="AO43" s="150">
        <f t="shared" si="28"/>
        <v>0</v>
      </c>
      <c r="AQ43" s="167">
        <f t="shared" si="16"/>
        <v>0</v>
      </c>
      <c r="AR43" s="174">
        <f t="shared" si="29"/>
        <v>0</v>
      </c>
      <c r="AS43" s="179"/>
      <c r="AT43" s="125">
        <f t="shared" si="17"/>
        <v>0</v>
      </c>
      <c r="AU43" s="181">
        <f t="shared" si="30"/>
        <v>0</v>
      </c>
      <c r="AV43" s="10">
        <f t="shared" si="18"/>
        <v>0</v>
      </c>
      <c r="AW43" s="10">
        <f t="shared" si="32"/>
        <v>0</v>
      </c>
      <c r="AX43" s="10">
        <f t="shared" si="33"/>
        <v>0</v>
      </c>
      <c r="AY43" s="10">
        <f t="shared" si="34"/>
        <v>0</v>
      </c>
    </row>
    <row r="44" spans="2:51" ht="12" thickBot="1" x14ac:dyDescent="0.25">
      <c r="B44" s="141" t="s">
        <v>4</v>
      </c>
      <c r="C44" s="142"/>
      <c r="D44" s="142"/>
      <c r="E44" s="142"/>
      <c r="F44" s="142"/>
      <c r="G44" s="142"/>
      <c r="H44" s="142"/>
      <c r="I44" s="142"/>
      <c r="J44" s="142"/>
      <c r="K44" s="152">
        <f>SUM(K4:K43)</f>
        <v>2803700</v>
      </c>
      <c r="L44" s="143"/>
      <c r="M44" s="144"/>
      <c r="N44" s="144"/>
      <c r="O44" s="144"/>
      <c r="P44" s="144"/>
      <c r="Q44" s="152">
        <f>SUM(Q4:Q43)</f>
        <v>1682950</v>
      </c>
      <c r="R44" s="9"/>
      <c r="S44" s="9"/>
      <c r="T44" s="9"/>
      <c r="U44" s="9"/>
      <c r="V44" s="9"/>
      <c r="W44" s="9"/>
      <c r="X44" s="9"/>
      <c r="Y44" s="9"/>
      <c r="Z44" s="9"/>
      <c r="AA44" s="9"/>
      <c r="AB44" s="9"/>
      <c r="AC44" s="168"/>
      <c r="AD44" s="143"/>
      <c r="AE44" s="143"/>
      <c r="AF44" s="143"/>
      <c r="AG44" s="143"/>
      <c r="AH44" s="143">
        <f t="shared" ref="AH44" si="43">SUM(AH4:AH43)</f>
        <v>1824895</v>
      </c>
      <c r="AI44" s="168"/>
      <c r="AJ44" s="143"/>
      <c r="AK44" s="143"/>
      <c r="AL44" s="169"/>
      <c r="AM44" s="143"/>
      <c r="AN44" s="143"/>
      <c r="AO44" s="152">
        <f t="shared" ref="AO44" si="44">SUM(AO4:AO43)</f>
        <v>1509299</v>
      </c>
      <c r="AP44" s="9"/>
      <c r="AQ44" s="168">
        <f>SUM(AQ4:AQ43)</f>
        <v>-978805</v>
      </c>
      <c r="AR44" s="175">
        <f t="shared" si="29"/>
        <v>-0.34911188786246744</v>
      </c>
      <c r="AS44" s="182"/>
      <c r="AT44" s="143">
        <f>SUM(AT4:AT43)</f>
        <v>-173651</v>
      </c>
      <c r="AU44" s="183">
        <f t="shared" si="30"/>
        <v>-0.10318250690751359</v>
      </c>
      <c r="AV44" s="10"/>
      <c r="AW44" s="10"/>
      <c r="AX44" s="10"/>
      <c r="AY44" s="10"/>
    </row>
    <row r="45" spans="2:51" x14ac:dyDescent="0.2">
      <c r="AQ45" s="7"/>
      <c r="AT45" s="7"/>
    </row>
    <row r="46" spans="2:51" x14ac:dyDescent="0.2">
      <c r="H46" s="6"/>
      <c r="I46" s="6"/>
      <c r="AQ46" s="5"/>
      <c r="AT46" s="5"/>
    </row>
    <row r="47" spans="2:51" x14ac:dyDescent="0.2">
      <c r="B47" s="119" t="s">
        <v>16</v>
      </c>
      <c r="C47" s="120">
        <f>D66</f>
        <v>0.19</v>
      </c>
    </row>
    <row r="48" spans="2:51" x14ac:dyDescent="0.2">
      <c r="B48" s="119" t="s">
        <v>17</v>
      </c>
      <c r="C48" s="120">
        <f>C75</f>
        <v>0.19500000000000001</v>
      </c>
    </row>
    <row r="49" spans="2:4" ht="6" customHeight="1" x14ac:dyDescent="0.2">
      <c r="B49" s="119"/>
      <c r="C49" s="120"/>
    </row>
    <row r="50" spans="2:4" x14ac:dyDescent="0.2">
      <c r="B50" s="119" t="s">
        <v>18</v>
      </c>
      <c r="C50" s="120">
        <f>C73</f>
        <v>0.15</v>
      </c>
    </row>
    <row r="51" spans="2:4" x14ac:dyDescent="0.2">
      <c r="B51" s="119" t="s">
        <v>20</v>
      </c>
      <c r="C51" s="120">
        <v>0.15</v>
      </c>
    </row>
    <row r="52" spans="2:4" x14ac:dyDescent="0.2">
      <c r="B52" s="119" t="s">
        <v>19</v>
      </c>
      <c r="C52" s="121">
        <f>C61</f>
        <v>0.185</v>
      </c>
    </row>
    <row r="55" spans="2:4" x14ac:dyDescent="0.2">
      <c r="B55" s="122"/>
      <c r="C55" s="123">
        <v>2020</v>
      </c>
      <c r="D55" s="123">
        <v>2021</v>
      </c>
    </row>
    <row r="56" spans="2:4" x14ac:dyDescent="0.2">
      <c r="B56" s="1"/>
      <c r="C56" s="1"/>
      <c r="D56" s="1"/>
    </row>
    <row r="57" spans="2:4" ht="11.25" customHeight="1" x14ac:dyDescent="0.2">
      <c r="B57" s="199" t="s">
        <v>22</v>
      </c>
      <c r="C57" s="199"/>
      <c r="D57" s="199"/>
    </row>
    <row r="58" spans="2:4" x14ac:dyDescent="0.2">
      <c r="B58" s="116" t="s">
        <v>23</v>
      </c>
      <c r="C58" s="110">
        <v>0.1</v>
      </c>
      <c r="D58" s="110">
        <v>0.1</v>
      </c>
    </row>
    <row r="59" spans="2:4" x14ac:dyDescent="0.2">
      <c r="B59" s="116" t="s">
        <v>24</v>
      </c>
      <c r="C59" s="110">
        <v>7.0000000000000007E-2</v>
      </c>
      <c r="D59" s="110">
        <v>7.0000000000000007E-2</v>
      </c>
    </row>
    <row r="60" spans="2:4" x14ac:dyDescent="0.2">
      <c r="B60" s="116" t="s">
        <v>25</v>
      </c>
      <c r="C60" s="110">
        <v>1.4999999999999999E-2</v>
      </c>
      <c r="D60" s="110">
        <v>1.4999999999999999E-2</v>
      </c>
    </row>
    <row r="61" spans="2:4" x14ac:dyDescent="0.2">
      <c r="B61" s="117" t="s">
        <v>26</v>
      </c>
      <c r="C61" s="118">
        <f>SUM(C58:C60)</f>
        <v>0.185</v>
      </c>
      <c r="D61" s="118">
        <f>SUM(D58:D60)</f>
        <v>0.185</v>
      </c>
    </row>
    <row r="62" spans="2:4" x14ac:dyDescent="0.2">
      <c r="D62" s="1"/>
    </row>
    <row r="63" spans="2:4" ht="11.25" customHeight="1" x14ac:dyDescent="0.2">
      <c r="B63" s="199" t="s">
        <v>27</v>
      </c>
      <c r="C63" s="199"/>
      <c r="D63" s="199"/>
    </row>
    <row r="64" spans="2:4" x14ac:dyDescent="0.2">
      <c r="B64" s="116" t="s">
        <v>23</v>
      </c>
      <c r="C64" s="110">
        <v>0.17499999999999999</v>
      </c>
      <c r="D64" s="110">
        <v>0.17499999999999999</v>
      </c>
    </row>
    <row r="65" spans="2:5" x14ac:dyDescent="0.2">
      <c r="B65" s="116" t="s">
        <v>0</v>
      </c>
      <c r="C65" s="110">
        <v>1.4999999999999999E-2</v>
      </c>
      <c r="D65" s="110">
        <v>1.4999999999999999E-2</v>
      </c>
    </row>
    <row r="66" spans="2:5" x14ac:dyDescent="0.2">
      <c r="B66" s="117" t="s">
        <v>26</v>
      </c>
      <c r="C66" s="118">
        <f>SUM(C64:C65)</f>
        <v>0.19</v>
      </c>
      <c r="D66" s="118">
        <f>SUM(D64:D65)</f>
        <v>0.19</v>
      </c>
    </row>
    <row r="67" spans="2:5" x14ac:dyDescent="0.2">
      <c r="B67" s="1"/>
      <c r="C67" s="1"/>
      <c r="D67" s="1"/>
    </row>
    <row r="68" spans="2:5" x14ac:dyDescent="0.2">
      <c r="B68" s="1"/>
      <c r="C68" s="1"/>
      <c r="D68" s="1"/>
    </row>
    <row r="69" spans="2:5" x14ac:dyDescent="0.2">
      <c r="B69" s="199" t="s">
        <v>28</v>
      </c>
      <c r="C69" s="199"/>
      <c r="D69" s="199"/>
    </row>
    <row r="70" spans="2:5" x14ac:dyDescent="0.2">
      <c r="B70" s="116" t="s">
        <v>1</v>
      </c>
      <c r="C70" s="110">
        <v>0.09</v>
      </c>
      <c r="D70" s="110">
        <v>0.09</v>
      </c>
    </row>
    <row r="71" spans="2:5" x14ac:dyDescent="0.2">
      <c r="B71" s="116" t="s">
        <v>29</v>
      </c>
      <c r="C71" s="110">
        <v>0.12</v>
      </c>
      <c r="D71" s="110">
        <v>0.12</v>
      </c>
    </row>
    <row r="72" spans="2:5" x14ac:dyDescent="0.2">
      <c r="B72" s="116" t="s">
        <v>30</v>
      </c>
      <c r="C72" s="110">
        <v>0.02</v>
      </c>
      <c r="D72" s="110">
        <v>0.02</v>
      </c>
    </row>
    <row r="73" spans="2:5" x14ac:dyDescent="0.2">
      <c r="B73" s="116" t="s">
        <v>18</v>
      </c>
      <c r="C73" s="110">
        <v>0.15</v>
      </c>
      <c r="D73" s="110">
        <v>0.15</v>
      </c>
    </row>
    <row r="74" spans="2:5" x14ac:dyDescent="0.2">
      <c r="B74" s="116" t="s">
        <v>31</v>
      </c>
      <c r="C74" s="110">
        <v>0.17499999999999999</v>
      </c>
      <c r="D74" s="110">
        <v>0.17499999999999999</v>
      </c>
    </row>
    <row r="75" spans="2:5" x14ac:dyDescent="0.2">
      <c r="B75" s="116" t="s">
        <v>17</v>
      </c>
      <c r="C75" s="110">
        <v>0.19500000000000001</v>
      </c>
      <c r="D75" s="110">
        <v>0.19500000000000001</v>
      </c>
    </row>
    <row r="76" spans="2:5" x14ac:dyDescent="0.2">
      <c r="B76" s="1"/>
      <c r="C76" s="1"/>
      <c r="D76" s="1"/>
    </row>
    <row r="77" spans="2:5" ht="22.5" x14ac:dyDescent="0.2">
      <c r="B77" s="111" t="s">
        <v>32</v>
      </c>
      <c r="C77" s="112" t="s">
        <v>33</v>
      </c>
      <c r="D77" s="111" t="s">
        <v>32</v>
      </c>
      <c r="E77" s="113" t="s">
        <v>39</v>
      </c>
    </row>
    <row r="78" spans="2:5" x14ac:dyDescent="0.2">
      <c r="B78" s="111" t="s">
        <v>34</v>
      </c>
      <c r="C78" s="114">
        <v>66670</v>
      </c>
      <c r="D78" s="114">
        <f>ROUND(C78*$C$73/1000,0)*1000</f>
        <v>10000</v>
      </c>
      <c r="E78" s="115">
        <f>D78</f>
        <v>10000</v>
      </c>
    </row>
    <row r="79" spans="2:5" x14ac:dyDescent="0.2">
      <c r="B79" s="111" t="s">
        <v>35</v>
      </c>
      <c r="C79" s="114">
        <v>133330</v>
      </c>
      <c r="D79" s="114">
        <f>ROUND(C79*$C$73/1000,0)*1000</f>
        <v>20000</v>
      </c>
      <c r="E79" s="115">
        <f>D79*2</f>
        <v>40000</v>
      </c>
    </row>
    <row r="80" spans="2:5" x14ac:dyDescent="0.2">
      <c r="B80" s="111" t="s">
        <v>40</v>
      </c>
      <c r="C80" s="114">
        <v>220000</v>
      </c>
      <c r="D80" s="114">
        <f>ROUND(C80*$C$73/1000,0)*1000</f>
        <v>33000</v>
      </c>
      <c r="E80" s="115">
        <f>D80*3</f>
        <v>99000</v>
      </c>
    </row>
    <row r="81" spans="2:5" x14ac:dyDescent="0.2">
      <c r="B81" s="111" t="s">
        <v>41</v>
      </c>
      <c r="C81" s="114">
        <v>220000</v>
      </c>
      <c r="D81" s="114">
        <f>ROUND(C81*$C$73/1000,0)*1000</f>
        <v>33000</v>
      </c>
      <c r="E81" s="115">
        <f>D81*4</f>
        <v>132000</v>
      </c>
    </row>
    <row r="82" spans="2:5" x14ac:dyDescent="0.2">
      <c r="B82" s="4"/>
      <c r="C82" s="4"/>
      <c r="D82" s="4"/>
    </row>
    <row r="83" spans="2:5" x14ac:dyDescent="0.2">
      <c r="B83" s="4"/>
      <c r="C83" s="4"/>
      <c r="D83" s="4"/>
    </row>
    <row r="84" spans="2:5" x14ac:dyDescent="0.2">
      <c r="B84" s="111" t="s">
        <v>36</v>
      </c>
      <c r="C84" s="3">
        <v>161000</v>
      </c>
      <c r="D84" s="3">
        <v>161000</v>
      </c>
    </row>
    <row r="85" spans="2:5" x14ac:dyDescent="0.2">
      <c r="B85" s="111" t="s">
        <v>37</v>
      </c>
      <c r="C85" s="114">
        <f>C84*24</f>
        <v>3864000</v>
      </c>
      <c r="D85" s="114">
        <f>D84*24</f>
        <v>3864000</v>
      </c>
    </row>
    <row r="86" spans="2:5" x14ac:dyDescent="0.2">
      <c r="B86" s="111" t="s">
        <v>38</v>
      </c>
      <c r="C86" s="114">
        <f>C85*C74</f>
        <v>676200</v>
      </c>
      <c r="D86" s="114">
        <f>D85*D74</f>
        <v>676200</v>
      </c>
    </row>
    <row r="87" spans="2:5" x14ac:dyDescent="0.2">
      <c r="B87" s="113"/>
      <c r="C87" s="113"/>
      <c r="D87" s="113"/>
    </row>
  </sheetData>
  <mergeCells count="8">
    <mergeCell ref="B69:D69"/>
    <mergeCell ref="W1:AA1"/>
    <mergeCell ref="AV2:AY2"/>
    <mergeCell ref="B57:D57"/>
    <mergeCell ref="B63:D63"/>
    <mergeCell ref="AC1:AH1"/>
    <mergeCell ref="AQ3:AR3"/>
    <mergeCell ref="AT3:AU3"/>
  </mergeCells>
  <pageMargins left="0.7" right="0.7" top="0.75" bottom="0.75" header="0.3" footer="0.3"/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I27"/>
  <sheetViews>
    <sheetView showGridLines="0" workbookViewId="0">
      <selection activeCell="B17" sqref="B17"/>
    </sheetView>
  </sheetViews>
  <sheetFormatPr defaultRowHeight="15" x14ac:dyDescent="0.25"/>
  <cols>
    <col min="1" max="1" width="4.140625" customWidth="1"/>
    <col min="2" max="2" width="16.42578125" customWidth="1"/>
    <col min="3" max="3" width="94" customWidth="1"/>
  </cols>
  <sheetData>
    <row r="1" spans="1:9" x14ac:dyDescent="0.25">
      <c r="A1" s="22"/>
      <c r="B1" s="22"/>
      <c r="C1" s="22"/>
      <c r="D1" s="22"/>
      <c r="E1" s="22"/>
      <c r="F1" s="22"/>
    </row>
    <row r="2" spans="1:9" ht="30" x14ac:dyDescent="0.25">
      <c r="A2" s="22"/>
      <c r="B2" s="177" t="s">
        <v>187</v>
      </c>
      <c r="C2" s="54" t="s">
        <v>191</v>
      </c>
      <c r="D2" s="22"/>
      <c r="E2" s="22"/>
      <c r="F2" s="22"/>
    </row>
    <row r="3" spans="1:9" ht="30" x14ac:dyDescent="0.25">
      <c r="A3" s="22"/>
      <c r="B3" s="177" t="s">
        <v>188</v>
      </c>
      <c r="C3" s="54" t="s">
        <v>190</v>
      </c>
      <c r="D3" s="22"/>
      <c r="E3" s="22"/>
      <c r="F3" s="22"/>
    </row>
    <row r="4" spans="1:9" ht="45" x14ac:dyDescent="0.25">
      <c r="A4" s="22"/>
      <c r="B4" s="177" t="s">
        <v>189</v>
      </c>
      <c r="C4" s="178" t="s">
        <v>192</v>
      </c>
      <c r="D4" s="22"/>
      <c r="E4" s="22"/>
      <c r="F4" s="22"/>
    </row>
    <row r="5" spans="1:9" x14ac:dyDescent="0.25">
      <c r="A5" s="22"/>
      <c r="B5" s="22"/>
      <c r="C5" s="22"/>
      <c r="D5" s="22"/>
      <c r="E5" s="22"/>
      <c r="F5" s="22"/>
    </row>
    <row r="6" spans="1:9" x14ac:dyDescent="0.25">
      <c r="A6" s="22"/>
      <c r="B6" s="22"/>
      <c r="C6" s="22"/>
      <c r="D6" s="22"/>
      <c r="E6" s="22"/>
      <c r="F6" s="22"/>
    </row>
    <row r="7" spans="1:9" x14ac:dyDescent="0.25">
      <c r="A7" s="22"/>
      <c r="B7" s="51" t="s">
        <v>65</v>
      </c>
      <c r="C7" s="51"/>
      <c r="D7" s="22"/>
      <c r="E7" s="22"/>
      <c r="F7" s="22"/>
    </row>
    <row r="8" spans="1:9" x14ac:dyDescent="0.25">
      <c r="A8" s="22"/>
      <c r="B8" s="22"/>
      <c r="C8" s="22"/>
      <c r="D8" s="22"/>
      <c r="E8" s="22"/>
      <c r="F8" s="22"/>
    </row>
    <row r="9" spans="1:9" x14ac:dyDescent="0.25">
      <c r="A9" s="22"/>
      <c r="B9" s="52" t="s">
        <v>67</v>
      </c>
      <c r="C9" s="22" t="s">
        <v>68</v>
      </c>
      <c r="D9" s="22"/>
      <c r="E9" s="22"/>
      <c r="F9" s="22"/>
    </row>
    <row r="10" spans="1:9" ht="30" x14ac:dyDescent="0.25">
      <c r="A10" s="22"/>
      <c r="B10" s="53" t="s">
        <v>66</v>
      </c>
      <c r="C10" s="54" t="s">
        <v>69</v>
      </c>
      <c r="D10" s="22"/>
      <c r="E10" s="22"/>
      <c r="F10" s="22"/>
    </row>
    <row r="11" spans="1:9" x14ac:dyDescent="0.25">
      <c r="A11" s="22"/>
      <c r="B11" s="53" t="s">
        <v>70</v>
      </c>
      <c r="C11" s="22" t="s">
        <v>71</v>
      </c>
      <c r="D11" s="22"/>
      <c r="E11" s="22"/>
      <c r="F11" s="22"/>
    </row>
    <row r="12" spans="1:9" x14ac:dyDescent="0.25">
      <c r="A12" s="22"/>
      <c r="B12" s="53" t="s">
        <v>193</v>
      </c>
      <c r="C12" s="22" t="s">
        <v>72</v>
      </c>
      <c r="D12" s="22"/>
      <c r="E12" s="22"/>
      <c r="F12" s="22"/>
    </row>
    <row r="13" spans="1:9" ht="45" x14ac:dyDescent="0.25">
      <c r="A13" s="22"/>
      <c r="B13" s="53" t="s">
        <v>194</v>
      </c>
      <c r="C13" s="54" t="s">
        <v>93</v>
      </c>
      <c r="D13" s="22"/>
      <c r="E13" s="22"/>
      <c r="F13" s="22"/>
    </row>
    <row r="14" spans="1:9" ht="30" x14ac:dyDescent="0.25">
      <c r="A14" s="22"/>
      <c r="B14" s="53" t="s">
        <v>195</v>
      </c>
      <c r="C14" s="54" t="s">
        <v>81</v>
      </c>
      <c r="D14" s="22"/>
      <c r="E14" s="22"/>
      <c r="F14" s="22"/>
    </row>
    <row r="15" spans="1:9" ht="30.75" x14ac:dyDescent="0.25">
      <c r="A15" s="22"/>
      <c r="B15" s="53" t="s">
        <v>79</v>
      </c>
      <c r="C15" s="54" t="s">
        <v>196</v>
      </c>
      <c r="D15" s="22"/>
      <c r="E15" s="22"/>
      <c r="F15" s="22"/>
    </row>
    <row r="16" spans="1:9" x14ac:dyDescent="0.25">
      <c r="A16" s="22"/>
      <c r="B16" s="53" t="s">
        <v>80</v>
      </c>
      <c r="C16" s="22" t="s">
        <v>197</v>
      </c>
      <c r="D16" s="22"/>
      <c r="E16" s="22"/>
      <c r="F16" s="22"/>
      <c r="G16" s="22"/>
      <c r="H16" s="22"/>
      <c r="I16" s="22"/>
    </row>
    <row r="17" spans="1:9" x14ac:dyDescent="0.25">
      <c r="A17" s="22"/>
      <c r="B17" s="53" t="s">
        <v>198</v>
      </c>
      <c r="C17" s="22" t="s">
        <v>73</v>
      </c>
      <c r="D17" s="22"/>
      <c r="E17" s="55" t="s">
        <v>94</v>
      </c>
      <c r="F17" s="22"/>
      <c r="G17" s="22"/>
      <c r="H17" s="22"/>
      <c r="I17" s="22"/>
    </row>
    <row r="18" spans="1:9" x14ac:dyDescent="0.25">
      <c r="A18" s="22"/>
      <c r="B18" s="53" t="s">
        <v>82</v>
      </c>
      <c r="C18" s="54" t="s">
        <v>83</v>
      </c>
      <c r="D18" s="22"/>
      <c r="E18" s="22"/>
      <c r="F18" s="22"/>
      <c r="G18" s="22"/>
      <c r="H18" s="22"/>
      <c r="I18" s="22"/>
    </row>
    <row r="19" spans="1:9" x14ac:dyDescent="0.25">
      <c r="B19" s="11" t="s">
        <v>88</v>
      </c>
      <c r="C19" s="12" t="s">
        <v>142</v>
      </c>
      <c r="E19" s="56" t="s">
        <v>89</v>
      </c>
      <c r="F19" s="22"/>
      <c r="G19" s="22"/>
      <c r="H19" s="57">
        <v>107065</v>
      </c>
      <c r="I19" s="22"/>
    </row>
    <row r="20" spans="1:9" x14ac:dyDescent="0.25">
      <c r="B20" s="53" t="s">
        <v>84</v>
      </c>
      <c r="C20" s="22" t="s">
        <v>85</v>
      </c>
      <c r="D20" s="22"/>
      <c r="E20" s="56" t="s">
        <v>90</v>
      </c>
      <c r="F20" s="22"/>
      <c r="G20" s="22"/>
      <c r="H20" s="57">
        <f>H19*2</f>
        <v>214130</v>
      </c>
      <c r="I20" s="22"/>
    </row>
    <row r="21" spans="1:9" x14ac:dyDescent="0.25">
      <c r="B21" s="53" t="s">
        <v>86</v>
      </c>
      <c r="C21" s="22" t="s">
        <v>87</v>
      </c>
      <c r="D21" s="22"/>
      <c r="E21" s="56" t="s">
        <v>91</v>
      </c>
      <c r="F21" s="56"/>
      <c r="G21" s="58">
        <v>0.75</v>
      </c>
      <c r="H21" s="57">
        <f>H20*0.75</f>
        <v>160597.5</v>
      </c>
      <c r="I21" s="22"/>
    </row>
    <row r="22" spans="1:9" x14ac:dyDescent="0.25">
      <c r="B22" s="22"/>
      <c r="C22" s="22"/>
      <c r="D22" s="22"/>
      <c r="E22" s="56" t="s">
        <v>92</v>
      </c>
      <c r="F22" s="22"/>
      <c r="G22" s="58">
        <v>0.7</v>
      </c>
      <c r="H22" s="57">
        <f>H21*G22</f>
        <v>112418.25</v>
      </c>
      <c r="I22" s="22"/>
    </row>
    <row r="23" spans="1:9" x14ac:dyDescent="0.25">
      <c r="E23" s="22"/>
      <c r="F23" s="22"/>
      <c r="G23" s="22"/>
      <c r="H23" s="22"/>
      <c r="I23" s="22"/>
    </row>
    <row r="24" spans="1:9" x14ac:dyDescent="0.25">
      <c r="E24" s="22"/>
      <c r="F24" s="22"/>
      <c r="G24" s="22"/>
      <c r="H24" s="22"/>
      <c r="I24" s="22"/>
    </row>
    <row r="25" spans="1:9" x14ac:dyDescent="0.25">
      <c r="E25" s="22"/>
      <c r="F25" s="22"/>
      <c r="G25" s="22"/>
      <c r="H25" s="22"/>
      <c r="I25" s="22"/>
    </row>
    <row r="26" spans="1:9" x14ac:dyDescent="0.25">
      <c r="E26" s="22"/>
      <c r="F26" s="22"/>
      <c r="G26" s="22"/>
      <c r="H26" s="22"/>
      <c r="I26" s="22"/>
    </row>
    <row r="27" spans="1:9" x14ac:dyDescent="0.25">
      <c r="E27" s="22"/>
      <c r="F27" s="22"/>
      <c r="G27" s="22"/>
      <c r="H27" s="22"/>
      <c r="I27" s="2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4</vt:i4>
      </vt:variant>
    </vt:vector>
  </HeadingPairs>
  <TitlesOfParts>
    <vt:vector size="4" baseType="lpstr">
      <vt:lpstr>01_ktgcsökk_célszám</vt:lpstr>
      <vt:lpstr>02_működési_ktg_terv</vt:lpstr>
      <vt:lpstr>03_HR&amp;megbíz_kalk</vt:lpstr>
      <vt:lpstr>használat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Könyvelés</dc:creator>
  <cp:lastModifiedBy>User</cp:lastModifiedBy>
  <dcterms:created xsi:type="dcterms:W3CDTF">2020-03-30T09:08:43Z</dcterms:created>
  <dcterms:modified xsi:type="dcterms:W3CDTF">2020-05-02T18:49:40Z</dcterms:modified>
</cp:coreProperties>
</file>